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6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cio-Taco-K2/Downloads/"/>
    </mc:Choice>
  </mc:AlternateContent>
  <xr:revisionPtr revIDLastSave="0" documentId="13_ncr:1_{02B3AAA2-BB16-C449-ABB4-2D3B43698C2F}" xr6:coauthVersionLast="47" xr6:coauthVersionMax="47" xr10:uidLastSave="{00000000-0000-0000-0000-000000000000}"/>
  <bookViews>
    <workbookView xWindow="0" yWindow="740" windowWidth="25880" windowHeight="17040" tabRatio="861" activeTab="9" xr2:uid="{00000000-000D-0000-FFFF-FFFF00000000}"/>
  </bookViews>
  <sheets>
    <sheet name="Informations" sheetId="17" r:id="rId1"/>
    <sheet name="Objectifs-projets et rêves" sheetId="38" r:id="rId2"/>
    <sheet name="Status" sheetId="18" r:id="rId3"/>
    <sheet name="Bilan Perso" sheetId="2" r:id="rId4"/>
    <sheet name="Graphique de progression" sheetId="19" r:id="rId5"/>
    <sheet name="Bilan GESCO" sheetId="21" state="hidden" r:id="rId6"/>
    <sheet name="Bilan OPCO" sheetId="22" state="hidden" r:id="rId7"/>
    <sheet name="Graphique de progression (2)" sheetId="20" state="hidden" r:id="rId8"/>
    <sheet name="Bilan immobilier" sheetId="10" state="hidden" r:id="rId9"/>
    <sheet name="Sommaire assurance de personne" sheetId="3" r:id="rId10"/>
    <sheet name="Sommaire assurance dommages" sheetId="23" r:id="rId11"/>
    <sheet name="Budget prévisionnel" sheetId="45" r:id="rId12"/>
    <sheet name="Budget %" sheetId="40" r:id="rId13"/>
    <sheet name="Feuil1" sheetId="41" state="hidden" r:id="rId14"/>
    <sheet name="Analyse invalidité" sheetId="12" state="hidden" r:id="rId15"/>
    <sheet name="AMG propriété partagé" sheetId="42" state="hidden" r:id="rId16"/>
    <sheet name="AMG propriété partagé concept" sheetId="43" state="hidden" r:id="rId17"/>
    <sheet name="AMG propriété partagé analyse" sheetId="44" state="hidden" r:id="rId18"/>
    <sheet name="Budget previsionnel" sheetId="36" state="hidden" r:id="rId19"/>
    <sheet name="Budget previsionnel graphique" sheetId="37" state="hidden" r:id="rId20"/>
    <sheet name="Coût ass. hypotécaire CALCUL" sheetId="34" state="hidden" r:id="rId21"/>
    <sheet name="Capacité d'emprunt CALCUL" sheetId="29" state="hidden" r:id="rId22"/>
    <sheet name="Analyse achat mdf" sheetId="32" state="hidden" r:id="rId23"/>
    <sheet name="Calcul remboursement AFE" sheetId="30" r:id="rId24"/>
    <sheet name="Calcul remboursement MC" sheetId="35" state="hidden" r:id="rId25"/>
    <sheet name="Budget coût de vie B" sheetId="15" state="hidden" r:id="rId26"/>
    <sheet name="Budget coût de vie cjt" sheetId="16" state="hidden" r:id="rId27"/>
    <sheet name="RIPS - Sommaire" sheetId="24" state="hidden" r:id="rId28"/>
    <sheet name="RIPS - Analyse" sheetId="25" state="hidden" r:id="rId29"/>
    <sheet name="RIPS - données pour comptable" sheetId="26" state="hidden" r:id="rId30"/>
  </sheets>
  <definedNames>
    <definedName name="_xlnm.Print_Area" localSheetId="5">'Bilan GESCO'!$B$2:$H$65</definedName>
    <definedName name="_xlnm.Print_Area" localSheetId="8">'Bilan immobilier'!$A$1:$I$48</definedName>
    <definedName name="_xlnm.Print_Area" localSheetId="6">'Bilan OPCO'!$B$2:$H$65</definedName>
    <definedName name="_xlnm.Print_Area" localSheetId="3">'Bilan Perso'!$B$2:$H$63</definedName>
    <definedName name="_xlnm.Print_Area" localSheetId="12">'Budget %'!$B$1:$D$68</definedName>
    <definedName name="_xlnm.Print_Area" localSheetId="25">'Budget coût de vie B'!$A$1:$D$60</definedName>
    <definedName name="_xlnm.Print_Area" localSheetId="26">'Budget coût de vie cjt'!$A$1:$D$60</definedName>
    <definedName name="_xlnm.Print_Area" localSheetId="23">'Calcul remboursement AFE'!$A$4:$F$125</definedName>
    <definedName name="_xlnm.Print_Area" localSheetId="24">'Calcul remboursement MC'!$A$4:$F$125</definedName>
    <definedName name="_xlnm.Print_Area" localSheetId="20">'Coût ass. hypotécaire CALCUL'!$A$1:$N$25</definedName>
    <definedName name="_xlnm.Print_Area" localSheetId="1">'Objectifs-projets et rêves'!$B$2:$H$14</definedName>
    <definedName name="_xlnm.Print_Area" localSheetId="28">'RIPS - Analyse'!$A$1:$I$36</definedName>
    <definedName name="_xlnm.Print_Area" localSheetId="29">'RIPS - données pour comptable'!$A$1:$I$24</definedName>
    <definedName name="_xlnm.Print_Area" localSheetId="27">'RIPS - Sommaire'!$A$1:$E$32</definedName>
    <definedName name="_xlnm.Print_Area" localSheetId="9">'Sommaire assurance de personne'!$A$1:$H$20</definedName>
    <definedName name="_xlnm.Print_Area" localSheetId="10">'Sommaire assurance dommages'!$A$1:$G$14</definedName>
    <definedName name="_xlnm.Print_Area" localSheetId="2">Status!$B$2:$H$30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8" l="1"/>
  <c r="E24" i="18"/>
  <c r="F24" i="18"/>
  <c r="G24" i="18"/>
  <c r="H24" i="18"/>
  <c r="C24" i="18"/>
  <c r="D13" i="18"/>
  <c r="E13" i="18"/>
  <c r="F13" i="18"/>
  <c r="G13" i="18"/>
  <c r="H13" i="18"/>
  <c r="C13" i="18"/>
  <c r="N14" i="45"/>
  <c r="L59" i="45"/>
  <c r="L60" i="45" s="1"/>
  <c r="H59" i="45"/>
  <c r="H61" i="45" s="1"/>
  <c r="D59" i="45"/>
  <c r="D60" i="45" s="1"/>
  <c r="M57" i="45"/>
  <c r="L57" i="45"/>
  <c r="K57" i="45"/>
  <c r="J57" i="45"/>
  <c r="I57" i="45"/>
  <c r="H57" i="45"/>
  <c r="G57" i="45"/>
  <c r="F57" i="45"/>
  <c r="E57" i="45"/>
  <c r="D57" i="45"/>
  <c r="C57" i="45"/>
  <c r="B57" i="45"/>
  <c r="O57" i="45" s="1"/>
  <c r="O56" i="45"/>
  <c r="N56" i="45"/>
  <c r="O55" i="45"/>
  <c r="N55" i="45"/>
  <c r="N53" i="45" s="1"/>
  <c r="O54" i="45"/>
  <c r="O53" i="45" s="1"/>
  <c r="N54" i="45"/>
  <c r="O52" i="45"/>
  <c r="N52" i="45"/>
  <c r="O51" i="45"/>
  <c r="N51" i="45"/>
  <c r="O50" i="45"/>
  <c r="N50" i="45"/>
  <c r="O49" i="45"/>
  <c r="N49" i="45"/>
  <c r="O48" i="45"/>
  <c r="N48" i="45"/>
  <c r="O47" i="45"/>
  <c r="N47" i="45"/>
  <c r="O46" i="45"/>
  <c r="N46" i="45"/>
  <c r="O45" i="45"/>
  <c r="N45" i="45"/>
  <c r="O44" i="45"/>
  <c r="N44" i="45"/>
  <c r="O43" i="45"/>
  <c r="N43" i="45"/>
  <c r="O42" i="45"/>
  <c r="N42" i="45"/>
  <c r="O41" i="45"/>
  <c r="N41" i="45"/>
  <c r="O40" i="45"/>
  <c r="N40" i="45"/>
  <c r="O39" i="45"/>
  <c r="N39" i="45"/>
  <c r="N38" i="45" s="1"/>
  <c r="O38" i="45"/>
  <c r="O37" i="45"/>
  <c r="N37" i="45"/>
  <c r="O36" i="45"/>
  <c r="N36" i="45"/>
  <c r="O35" i="45"/>
  <c r="N35" i="45"/>
  <c r="O34" i="45"/>
  <c r="N34" i="45"/>
  <c r="O33" i="45"/>
  <c r="N33" i="45"/>
  <c r="O32" i="45"/>
  <c r="N32" i="45"/>
  <c r="O31" i="45"/>
  <c r="N31" i="45"/>
  <c r="N30" i="45" s="1"/>
  <c r="O30" i="45"/>
  <c r="O29" i="45"/>
  <c r="N29" i="45"/>
  <c r="O28" i="45"/>
  <c r="N28" i="45"/>
  <c r="O27" i="45"/>
  <c r="N27" i="45"/>
  <c r="O26" i="45"/>
  <c r="P26" i="45" s="1"/>
  <c r="N26" i="45"/>
  <c r="O25" i="45"/>
  <c r="O24" i="45" s="1"/>
  <c r="N25" i="45"/>
  <c r="N24" i="45" s="1"/>
  <c r="O23" i="45"/>
  <c r="N23" i="45"/>
  <c r="O22" i="45"/>
  <c r="N22" i="45"/>
  <c r="O21" i="45"/>
  <c r="P21" i="45" s="1"/>
  <c r="N21" i="45"/>
  <c r="O20" i="45"/>
  <c r="O19" i="45" s="1"/>
  <c r="N20" i="45"/>
  <c r="N19" i="45" s="1"/>
  <c r="O18" i="45"/>
  <c r="N18" i="45"/>
  <c r="O17" i="45"/>
  <c r="N17" i="45"/>
  <c r="O16" i="45"/>
  <c r="P16" i="45" s="1"/>
  <c r="N16" i="45"/>
  <c r="O15" i="45"/>
  <c r="N15" i="45"/>
  <c r="O14" i="45"/>
  <c r="M10" i="45"/>
  <c r="M59" i="45" s="1"/>
  <c r="L10" i="45"/>
  <c r="K10" i="45"/>
  <c r="K59" i="45" s="1"/>
  <c r="J10" i="45"/>
  <c r="J59" i="45" s="1"/>
  <c r="I10" i="45"/>
  <c r="I59" i="45" s="1"/>
  <c r="H10" i="45"/>
  <c r="G10" i="45"/>
  <c r="G59" i="45" s="1"/>
  <c r="F10" i="45"/>
  <c r="F59" i="45" s="1"/>
  <c r="E10" i="45"/>
  <c r="E59" i="45" s="1"/>
  <c r="D10" i="45"/>
  <c r="C10" i="45"/>
  <c r="C59" i="45" s="1"/>
  <c r="B10" i="45"/>
  <c r="O9" i="45"/>
  <c r="N9" i="45"/>
  <c r="O8" i="45"/>
  <c r="N8" i="45"/>
  <c r="O7" i="45"/>
  <c r="N7" i="45"/>
  <c r="O6" i="45"/>
  <c r="N6" i="45"/>
  <c r="O5" i="45"/>
  <c r="N5" i="45"/>
  <c r="O4" i="45"/>
  <c r="N4" i="45"/>
  <c r="O3" i="45"/>
  <c r="N3" i="45"/>
  <c r="P56" i="45" l="1"/>
  <c r="N13" i="45"/>
  <c r="B59" i="45"/>
  <c r="B62" i="45" s="1"/>
  <c r="C62" i="45" s="1"/>
  <c r="D62" i="45" s="1"/>
  <c r="E62" i="45" s="1"/>
  <c r="F62" i="45" s="1"/>
  <c r="G62" i="45" s="1"/>
  <c r="H62" i="45" s="1"/>
  <c r="I62" i="45" s="1"/>
  <c r="J62" i="45" s="1"/>
  <c r="K62" i="45" s="1"/>
  <c r="L62" i="45" s="1"/>
  <c r="M62" i="45" s="1"/>
  <c r="P34" i="45"/>
  <c r="K60" i="45"/>
  <c r="K61" i="45"/>
  <c r="P48" i="45"/>
  <c r="P40" i="45"/>
  <c r="P32" i="45"/>
  <c r="P23" i="45"/>
  <c r="P15" i="45"/>
  <c r="P43" i="45"/>
  <c r="P27" i="45"/>
  <c r="P55" i="45"/>
  <c r="P47" i="45"/>
  <c r="P39" i="45"/>
  <c r="P31" i="45"/>
  <c r="P51" i="45"/>
  <c r="P35" i="45"/>
  <c r="P3" i="45"/>
  <c r="P7" i="45"/>
  <c r="E60" i="45"/>
  <c r="E61" i="45"/>
  <c r="M60" i="45"/>
  <c r="M61" i="45"/>
  <c r="P17" i="45"/>
  <c r="P22" i="45"/>
  <c r="P44" i="45"/>
  <c r="P52" i="45"/>
  <c r="C61" i="45"/>
  <c r="C60" i="45"/>
  <c r="F61" i="45"/>
  <c r="F60" i="45"/>
  <c r="P36" i="45"/>
  <c r="G61" i="45"/>
  <c r="G60" i="45"/>
  <c r="P14" i="45"/>
  <c r="P13" i="45" s="1"/>
  <c r="P18" i="45"/>
  <c r="P28" i="45"/>
  <c r="P41" i="45"/>
  <c r="P45" i="45"/>
  <c r="B61" i="45"/>
  <c r="N59" i="45"/>
  <c r="P33" i="45"/>
  <c r="P37" i="45"/>
  <c r="J60" i="45"/>
  <c r="J61" i="45"/>
  <c r="P6" i="45"/>
  <c r="I61" i="45"/>
  <c r="I60" i="45"/>
  <c r="P29" i="45"/>
  <c r="P42" i="45"/>
  <c r="P46" i="45"/>
  <c r="P50" i="45"/>
  <c r="P49" i="45" s="1"/>
  <c r="O10" i="45"/>
  <c r="P8" i="45" s="1"/>
  <c r="P25" i="45"/>
  <c r="H60" i="45"/>
  <c r="D61" i="45"/>
  <c r="L61" i="45"/>
  <c r="P20" i="45"/>
  <c r="P19" i="45" s="1"/>
  <c r="N10" i="45"/>
  <c r="P54" i="45"/>
  <c r="N57" i="45"/>
  <c r="O13" i="45"/>
  <c r="P30" i="45" l="1"/>
  <c r="P53" i="45"/>
  <c r="P38" i="45"/>
  <c r="B60" i="45"/>
  <c r="P24" i="45"/>
  <c r="P9" i="45"/>
  <c r="P5" i="45"/>
  <c r="P10" i="45" s="1"/>
  <c r="O59" i="45"/>
  <c r="P4" i="45"/>
  <c r="C46" i="40" l="1"/>
  <c r="D46" i="40" s="1"/>
  <c r="F4" i="23"/>
  <c r="F5" i="23"/>
  <c r="F6" i="23"/>
  <c r="F7" i="23"/>
  <c r="F8" i="23"/>
  <c r="F9" i="23"/>
  <c r="F3" i="23"/>
  <c r="O55" i="36"/>
  <c r="O56" i="36"/>
  <c r="O54" i="36"/>
  <c r="N55" i="36"/>
  <c r="N56" i="36"/>
  <c r="N54" i="36"/>
  <c r="O51" i="36"/>
  <c r="O52" i="36"/>
  <c r="O50" i="36"/>
  <c r="N51" i="36"/>
  <c r="N52" i="36"/>
  <c r="N50" i="36"/>
  <c r="O40" i="36"/>
  <c r="O38" i="36" s="1"/>
  <c r="O41" i="36"/>
  <c r="O42" i="36"/>
  <c r="O43" i="36"/>
  <c r="O44" i="36"/>
  <c r="O45" i="36"/>
  <c r="O46" i="36"/>
  <c r="O47" i="36"/>
  <c r="O48" i="36"/>
  <c r="O39" i="36"/>
  <c r="N40" i="36"/>
  <c r="N41" i="36"/>
  <c r="N42" i="36"/>
  <c r="N43" i="36"/>
  <c r="N44" i="36"/>
  <c r="N45" i="36"/>
  <c r="N46" i="36"/>
  <c r="N47" i="36"/>
  <c r="N48" i="36"/>
  <c r="N39" i="36"/>
  <c r="O32" i="36"/>
  <c r="O33" i="36"/>
  <c r="O34" i="36"/>
  <c r="O35" i="36"/>
  <c r="O36" i="36"/>
  <c r="O37" i="36"/>
  <c r="O31" i="36"/>
  <c r="N32" i="36"/>
  <c r="N33" i="36"/>
  <c r="N34" i="36"/>
  <c r="N35" i="36"/>
  <c r="N36" i="36"/>
  <c r="N37" i="36"/>
  <c r="N31" i="36"/>
  <c r="O26" i="36"/>
  <c r="O27" i="36"/>
  <c r="O28" i="36"/>
  <c r="O29" i="36"/>
  <c r="O25" i="36"/>
  <c r="N26" i="36"/>
  <c r="N27" i="36"/>
  <c r="N28" i="36"/>
  <c r="N29" i="36"/>
  <c r="N25" i="36"/>
  <c r="O21" i="36"/>
  <c r="O22" i="36"/>
  <c r="O23" i="36"/>
  <c r="O20" i="36"/>
  <c r="N21" i="36"/>
  <c r="N22" i="36"/>
  <c r="N23" i="36"/>
  <c r="N20" i="36"/>
  <c r="O15" i="36"/>
  <c r="O16" i="36"/>
  <c r="O17" i="36"/>
  <c r="O18" i="36"/>
  <c r="O14" i="36"/>
  <c r="N15" i="36"/>
  <c r="N16" i="36"/>
  <c r="N17" i="36"/>
  <c r="N18" i="36"/>
  <c r="N14" i="36"/>
  <c r="O4" i="36"/>
  <c r="O5" i="36"/>
  <c r="O6" i="36"/>
  <c r="O7" i="36"/>
  <c r="O8" i="36"/>
  <c r="O9" i="36"/>
  <c r="O3" i="36"/>
  <c r="N4" i="36"/>
  <c r="N5" i="36"/>
  <c r="N6" i="36"/>
  <c r="N7" i="36"/>
  <c r="N8" i="36"/>
  <c r="N9" i="36"/>
  <c r="N3" i="36"/>
  <c r="O17" i="43"/>
  <c r="M14" i="44"/>
  <c r="F14" i="44"/>
  <c r="F13" i="44"/>
  <c r="E13" i="44"/>
  <c r="M13" i="44" s="1"/>
  <c r="M12" i="44"/>
  <c r="F12" i="44"/>
  <c r="M10" i="44"/>
  <c r="F10" i="44"/>
  <c r="M8" i="44"/>
  <c r="F8" i="44"/>
  <c r="F7" i="44"/>
  <c r="E7" i="44" s="1"/>
  <c r="M7" i="44" s="1"/>
  <c r="M6" i="44"/>
  <c r="F6" i="44"/>
  <c r="N4" i="44"/>
  <c r="M4" i="44"/>
  <c r="F4" i="44"/>
  <c r="M3" i="44"/>
  <c r="F3" i="44"/>
  <c r="F2" i="44"/>
  <c r="E2" i="44"/>
  <c r="M2" i="44" s="1"/>
  <c r="P13" i="43"/>
  <c r="C13" i="43"/>
  <c r="I13" i="43" s="1"/>
  <c r="I4" i="43"/>
  <c r="I7" i="43" s="1"/>
  <c r="I2" i="43"/>
  <c r="I6" i="43" s="1"/>
  <c r="A64" i="40"/>
  <c r="D62" i="40"/>
  <c r="C60" i="40"/>
  <c r="D59" i="40"/>
  <c r="D58" i="40"/>
  <c r="D57" i="40"/>
  <c r="D56" i="40"/>
  <c r="D55" i="40"/>
  <c r="D54" i="40"/>
  <c r="D53" i="40"/>
  <c r="D50" i="40"/>
  <c r="D49" i="40"/>
  <c r="D48" i="40"/>
  <c r="D47" i="40"/>
  <c r="C44" i="40"/>
  <c r="D43" i="40"/>
  <c r="D42" i="40"/>
  <c r="D41" i="40"/>
  <c r="D40" i="40"/>
  <c r="D39" i="40"/>
  <c r="C37" i="40"/>
  <c r="D36" i="40"/>
  <c r="D35" i="40"/>
  <c r="D34" i="40"/>
  <c r="D33" i="40"/>
  <c r="C31" i="40"/>
  <c r="D30" i="40"/>
  <c r="D29" i="40"/>
  <c r="D28" i="40"/>
  <c r="C26" i="40"/>
  <c r="D25" i="40"/>
  <c r="D24" i="40"/>
  <c r="D22" i="40"/>
  <c r="D21" i="40"/>
  <c r="C19" i="40"/>
  <c r="D18" i="40"/>
  <c r="D17" i="40"/>
  <c r="D16" i="40"/>
  <c r="D14" i="40"/>
  <c r="C9" i="40"/>
  <c r="D7" i="40"/>
  <c r="D6" i="40"/>
  <c r="D5" i="40"/>
  <c r="B2" i="38"/>
  <c r="B10" i="36"/>
  <c r="C10" i="36"/>
  <c r="D10" i="36"/>
  <c r="E10" i="36"/>
  <c r="E59" i="36" s="1"/>
  <c r="F10" i="36"/>
  <c r="F59" i="36" s="1"/>
  <c r="F61" i="36" s="1"/>
  <c r="B57" i="36"/>
  <c r="B59" i="36" s="1"/>
  <c r="C57" i="36"/>
  <c r="D57" i="36"/>
  <c r="D59" i="36" s="1"/>
  <c r="E57" i="36"/>
  <c r="F57" i="36"/>
  <c r="G10" i="36"/>
  <c r="M57" i="36"/>
  <c r="L57" i="36"/>
  <c r="K57" i="36"/>
  <c r="J57" i="36"/>
  <c r="I57" i="36"/>
  <c r="H57" i="36"/>
  <c r="G57" i="36"/>
  <c r="N38" i="36"/>
  <c r="O24" i="36"/>
  <c r="N24" i="36"/>
  <c r="M10" i="36"/>
  <c r="L10" i="36"/>
  <c r="L59" i="36" s="1"/>
  <c r="K10" i="36"/>
  <c r="J10" i="36"/>
  <c r="I10" i="36"/>
  <c r="H10" i="36"/>
  <c r="H59" i="36" s="1"/>
  <c r="D51" i="40" l="1"/>
  <c r="D44" i="40"/>
  <c r="D9" i="40"/>
  <c r="E53" i="40" s="1"/>
  <c r="D26" i="40"/>
  <c r="D37" i="40"/>
  <c r="D60" i="40"/>
  <c r="D31" i="40"/>
  <c r="C51" i="40"/>
  <c r="C66" i="40" s="1"/>
  <c r="C68" i="40" s="1"/>
  <c r="O14" i="43"/>
  <c r="N53" i="36"/>
  <c r="O19" i="36"/>
  <c r="E60" i="36"/>
  <c r="E61" i="36"/>
  <c r="O30" i="36"/>
  <c r="N30" i="36"/>
  <c r="O49" i="36"/>
  <c r="N13" i="36"/>
  <c r="O13" i="36"/>
  <c r="C59" i="36"/>
  <c r="C60" i="36" s="1"/>
  <c r="G28" i="43"/>
  <c r="G24" i="43"/>
  <c r="G22" i="43"/>
  <c r="I5" i="43"/>
  <c r="B14" i="43"/>
  <c r="E56" i="40"/>
  <c r="E49" i="40"/>
  <c r="E14" i="40"/>
  <c r="E24" i="40"/>
  <c r="E41" i="40"/>
  <c r="E16" i="40"/>
  <c r="E50" i="40"/>
  <c r="E57" i="40"/>
  <c r="E58" i="40"/>
  <c r="E30" i="40"/>
  <c r="E43" i="40"/>
  <c r="E18" i="40"/>
  <c r="E54" i="40"/>
  <c r="E47" i="40"/>
  <c r="E23" i="40"/>
  <c r="D19" i="40"/>
  <c r="E33" i="40"/>
  <c r="E46" i="40"/>
  <c r="E29" i="40"/>
  <c r="E42" i="40"/>
  <c r="E55" i="40"/>
  <c r="E17" i="40"/>
  <c r="E35" i="40"/>
  <c r="E48" i="40"/>
  <c r="D60" i="36"/>
  <c r="D61" i="36"/>
  <c r="B62" i="36"/>
  <c r="B60" i="36"/>
  <c r="B61" i="36"/>
  <c r="F60" i="36"/>
  <c r="O10" i="36"/>
  <c r="P4" i="36" s="1"/>
  <c r="O57" i="36"/>
  <c r="P32" i="36" s="1"/>
  <c r="M59" i="36"/>
  <c r="M61" i="36" s="1"/>
  <c r="N49" i="36"/>
  <c r="J59" i="36"/>
  <c r="J61" i="36" s="1"/>
  <c r="P35" i="36"/>
  <c r="P36" i="36"/>
  <c r="P37" i="36"/>
  <c r="K59" i="36"/>
  <c r="K61" i="36" s="1"/>
  <c r="N19" i="36"/>
  <c r="N10" i="36"/>
  <c r="P21" i="36"/>
  <c r="P23" i="36"/>
  <c r="I59" i="36"/>
  <c r="I60" i="36" s="1"/>
  <c r="P54" i="36"/>
  <c r="O53" i="36"/>
  <c r="G59" i="36"/>
  <c r="G61" i="36" s="1"/>
  <c r="P14" i="36"/>
  <c r="P15" i="36"/>
  <c r="P16" i="36"/>
  <c r="H61" i="36"/>
  <c r="H60" i="36"/>
  <c r="P28" i="36"/>
  <c r="P26" i="36"/>
  <c r="P22" i="36"/>
  <c r="P20" i="36"/>
  <c r="P18" i="36"/>
  <c r="L61" i="36"/>
  <c r="L60" i="36"/>
  <c r="P50" i="36"/>
  <c r="P51" i="36"/>
  <c r="P52" i="36"/>
  <c r="M60" i="36"/>
  <c r="P40" i="36"/>
  <c r="P41" i="36"/>
  <c r="P42" i="36"/>
  <c r="P43" i="36"/>
  <c r="P44" i="36"/>
  <c r="P45" i="36"/>
  <c r="P46" i="36"/>
  <c r="P47" i="36"/>
  <c r="P48" i="36"/>
  <c r="P25" i="36"/>
  <c r="P31" i="36"/>
  <c r="P39" i="36"/>
  <c r="P55" i="36"/>
  <c r="N57" i="36"/>
  <c r="E36" i="40" l="1"/>
  <c r="E40" i="40"/>
  <c r="E21" i="40"/>
  <c r="E34" i="40"/>
  <c r="E59" i="40"/>
  <c r="E60" i="40" s="1"/>
  <c r="E28" i="40"/>
  <c r="E31" i="40" s="1"/>
  <c r="E25" i="40"/>
  <c r="E22" i="40"/>
  <c r="D66" i="40"/>
  <c r="D68" i="40" s="1"/>
  <c r="E39" i="40"/>
  <c r="E44" i="40" s="1"/>
  <c r="E19" i="40"/>
  <c r="O59" i="36"/>
  <c r="P7" i="36"/>
  <c r="C61" i="36"/>
  <c r="C62" i="36"/>
  <c r="D62" i="36" s="1"/>
  <c r="E62" i="36" s="1"/>
  <c r="F62" i="36" s="1"/>
  <c r="G62" i="36" s="1"/>
  <c r="H62" i="36" s="1"/>
  <c r="I62" i="36" s="1"/>
  <c r="J62" i="36" s="1"/>
  <c r="K62" i="36" s="1"/>
  <c r="L62" i="36" s="1"/>
  <c r="M62" i="36" s="1"/>
  <c r="G60" i="36"/>
  <c r="K30" i="43"/>
  <c r="G30" i="43"/>
  <c r="K26" i="43"/>
  <c r="G26" i="43"/>
  <c r="E37" i="40"/>
  <c r="E26" i="40"/>
  <c r="E51" i="40"/>
  <c r="E62" i="40"/>
  <c r="P9" i="36"/>
  <c r="P3" i="36"/>
  <c r="J60" i="36"/>
  <c r="P8" i="36"/>
  <c r="P6" i="36"/>
  <c r="P5" i="36"/>
  <c r="P17" i="36"/>
  <c r="P13" i="36" s="1"/>
  <c r="I61" i="36"/>
  <c r="P29" i="36"/>
  <c r="P24" i="36" s="1"/>
  <c r="P34" i="36"/>
  <c r="P30" i="36" s="1"/>
  <c r="P33" i="36"/>
  <c r="P56" i="36"/>
  <c r="P53" i="36" s="1"/>
  <c r="P27" i="36"/>
  <c r="K60" i="36"/>
  <c r="P19" i="36"/>
  <c r="P49" i="36"/>
  <c r="N59" i="36"/>
  <c r="P38" i="36"/>
  <c r="P10" i="36" l="1"/>
  <c r="E66" i="40"/>
  <c r="B6" i="35" l="1"/>
  <c r="D6" i="35" s="1"/>
  <c r="A6" i="35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s="1"/>
  <c r="A328" i="35" s="1"/>
  <c r="A329" i="35" s="1"/>
  <c r="A330" i="35" s="1"/>
  <c r="A331" i="35" s="1"/>
  <c r="A332" i="35" s="1"/>
  <c r="A333" i="35" s="1"/>
  <c r="A334" i="35" s="1"/>
  <c r="A335" i="35" s="1"/>
  <c r="A336" i="35" s="1"/>
  <c r="A337" i="35" s="1"/>
  <c r="A338" i="35" s="1"/>
  <c r="A339" i="35" s="1"/>
  <c r="A340" i="35" s="1"/>
  <c r="A341" i="35" s="1"/>
  <c r="A342" i="35" s="1"/>
  <c r="A343" i="35" s="1"/>
  <c r="A344" i="35" s="1"/>
  <c r="A345" i="35" s="1"/>
  <c r="A346" i="35" s="1"/>
  <c r="A347" i="35" s="1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D2" i="35"/>
  <c r="C6" i="35" s="1"/>
  <c r="E6" i="35" s="1"/>
  <c r="F6" i="35" s="1"/>
  <c r="B7" i="35" s="1"/>
  <c r="P65" i="32"/>
  <c r="D7" i="35" l="1"/>
  <c r="C7" i="35"/>
  <c r="E7" i="35" s="1"/>
  <c r="F7" i="35" s="1"/>
  <c r="B8" i="35" s="1"/>
  <c r="P66" i="32"/>
  <c r="N31" i="34"/>
  <c r="M28" i="34"/>
  <c r="M27" i="34"/>
  <c r="M29" i="34" s="1"/>
  <c r="O30" i="34" s="1"/>
  <c r="L27" i="34"/>
  <c r="Q26" i="34"/>
  <c r="M26" i="34"/>
  <c r="K19" i="34"/>
  <c r="E17" i="34"/>
  <c r="A13" i="34"/>
  <c r="K11" i="34"/>
  <c r="H11" i="34"/>
  <c r="I32" i="25"/>
  <c r="I30" i="25"/>
  <c r="I28" i="25"/>
  <c r="I26" i="25"/>
  <c r="I24" i="25"/>
  <c r="I22" i="25"/>
  <c r="I20" i="25"/>
  <c r="G9" i="32"/>
  <c r="H9" i="32" s="1"/>
  <c r="B65" i="32"/>
  <c r="F29" i="32"/>
  <c r="G29" i="32" s="1"/>
  <c r="H29" i="32" s="1"/>
  <c r="H28" i="32"/>
  <c r="F28" i="32"/>
  <c r="G28" i="32" s="1"/>
  <c r="G27" i="32"/>
  <c r="L16" i="32" s="1"/>
  <c r="F27" i="32"/>
  <c r="G26" i="32"/>
  <c r="L15" i="32" s="1"/>
  <c r="F26" i="32"/>
  <c r="F25" i="32"/>
  <c r="G25" i="32" s="1"/>
  <c r="H25" i="32" s="1"/>
  <c r="F24" i="32"/>
  <c r="G24" i="32" s="1"/>
  <c r="H24" i="32" s="1"/>
  <c r="M14" i="32" s="1"/>
  <c r="F23" i="32"/>
  <c r="G23" i="32" s="1"/>
  <c r="M22" i="32"/>
  <c r="L22" i="32"/>
  <c r="K22" i="32"/>
  <c r="F22" i="32"/>
  <c r="G22" i="32" s="1"/>
  <c r="H22" i="32" s="1"/>
  <c r="M12" i="32" s="1"/>
  <c r="L19" i="32"/>
  <c r="K19" i="32"/>
  <c r="K17" i="32"/>
  <c r="L17" i="32" s="1"/>
  <c r="M17" i="32" s="1"/>
  <c r="K16" i="32"/>
  <c r="H16" i="32"/>
  <c r="G16" i="32"/>
  <c r="K15" i="32"/>
  <c r="L14" i="32"/>
  <c r="K14" i="32"/>
  <c r="G12" i="32"/>
  <c r="H12" i="32" s="1"/>
  <c r="H11" i="32"/>
  <c r="J10" i="32"/>
  <c r="H8" i="32"/>
  <c r="G8" i="32"/>
  <c r="F8" i="32"/>
  <c r="C6" i="32"/>
  <c r="F10" i="32" s="1"/>
  <c r="G10" i="32" s="1"/>
  <c r="H3" i="32"/>
  <c r="H17" i="32" s="1"/>
  <c r="G3" i="32"/>
  <c r="G4" i="32" s="1"/>
  <c r="G11" i="32" s="1"/>
  <c r="F3" i="32"/>
  <c r="F4" i="32" s="1"/>
  <c r="F11" i="32" s="1"/>
  <c r="J2" i="32"/>
  <c r="L29" i="34" l="1"/>
  <c r="D8" i="35"/>
  <c r="C8" i="35"/>
  <c r="E8" i="35" s="1"/>
  <c r="F8" i="35" s="1"/>
  <c r="B9" i="35" s="1"/>
  <c r="H27" i="32"/>
  <c r="M16" i="32" s="1"/>
  <c r="P67" i="32"/>
  <c r="L12" i="32"/>
  <c r="L30" i="34"/>
  <c r="L31" i="34" s="1"/>
  <c r="L32" i="34" s="1"/>
  <c r="K13" i="34" s="1"/>
  <c r="L15" i="34" s="1"/>
  <c r="N30" i="34"/>
  <c r="M30" i="34"/>
  <c r="M31" i="34" s="1"/>
  <c r="M32" i="34" s="1"/>
  <c r="H13" i="34" s="1"/>
  <c r="H10" i="32"/>
  <c r="H13" i="32" s="1"/>
  <c r="H18" i="32" s="1"/>
  <c r="V35" i="32" s="1"/>
  <c r="G13" i="32"/>
  <c r="F13" i="32"/>
  <c r="L13" i="32"/>
  <c r="H23" i="32"/>
  <c r="M13" i="32" s="1"/>
  <c r="M19" i="32"/>
  <c r="H26" i="32"/>
  <c r="M15" i="32" s="1"/>
  <c r="F5" i="32"/>
  <c r="P4" i="32" s="1"/>
  <c r="Q4" i="32" s="1"/>
  <c r="H5" i="32"/>
  <c r="T4" i="32" s="1"/>
  <c r="U4" i="32" s="1"/>
  <c r="F17" i="32"/>
  <c r="G5" i="32"/>
  <c r="R4" i="32" s="1"/>
  <c r="S4" i="32" s="1"/>
  <c r="G17" i="32"/>
  <c r="K13" i="32"/>
  <c r="K12" i="32"/>
  <c r="D9" i="35" l="1"/>
  <c r="C9" i="35"/>
  <c r="E9" i="35" s="1"/>
  <c r="F9" i="35" s="1"/>
  <c r="B10" i="35" s="1"/>
  <c r="Q65" i="32"/>
  <c r="R65" i="32" s="1"/>
  <c r="P5" i="32"/>
  <c r="Q5" i="32" s="1"/>
  <c r="T5" i="32"/>
  <c r="U5" i="32" s="1"/>
  <c r="W65" i="32"/>
  <c r="X65" i="32" s="1"/>
  <c r="P68" i="32"/>
  <c r="R5" i="32"/>
  <c r="S5" i="32" s="1"/>
  <c r="T65" i="32"/>
  <c r="U65" i="32" s="1"/>
  <c r="K17" i="34"/>
  <c r="H17" i="34"/>
  <c r="F18" i="32"/>
  <c r="P35" i="32" s="1"/>
  <c r="H21" i="32"/>
  <c r="H30" i="32" s="1"/>
  <c r="F21" i="32"/>
  <c r="F30" i="32" s="1"/>
  <c r="G21" i="32"/>
  <c r="G30" i="32" s="1"/>
  <c r="G18" i="32"/>
  <c r="S35" i="32" s="1"/>
  <c r="Q35" i="32" l="1"/>
  <c r="Q36" i="32" s="1"/>
  <c r="Q37" i="32" s="1"/>
  <c r="Q38" i="32" s="1"/>
  <c r="Q39" i="32" s="1"/>
  <c r="Q40" i="32" s="1"/>
  <c r="Q41" i="32" s="1"/>
  <c r="Q42" i="32" s="1"/>
  <c r="Q43" i="32" s="1"/>
  <c r="Q44" i="32" s="1"/>
  <c r="Q45" i="32" s="1"/>
  <c r="Q46" i="32" s="1"/>
  <c r="Q47" i="32" s="1"/>
  <c r="Q48" i="32" s="1"/>
  <c r="Q49" i="32" s="1"/>
  <c r="Q50" i="32" s="1"/>
  <c r="Q51" i="32" s="1"/>
  <c r="Q52" i="32" s="1"/>
  <c r="Q53" i="32" s="1"/>
  <c r="Q54" i="32" s="1"/>
  <c r="Q55" i="32" s="1"/>
  <c r="Q56" i="32" s="1"/>
  <c r="Q57" i="32" s="1"/>
  <c r="Q58" i="32" s="1"/>
  <c r="Q59" i="32" s="1"/>
  <c r="D10" i="35"/>
  <c r="C10" i="35"/>
  <c r="E10" i="35" s="1"/>
  <c r="F10" i="35" s="1"/>
  <c r="B11" i="35" s="1"/>
  <c r="Q66" i="32"/>
  <c r="R66" i="32" s="1"/>
  <c r="P6" i="32"/>
  <c r="Q6" i="32" s="1"/>
  <c r="W35" i="32"/>
  <c r="R6" i="32"/>
  <c r="S6" i="32" s="1"/>
  <c r="T66" i="32"/>
  <c r="U66" i="32" s="1"/>
  <c r="T6" i="32"/>
  <c r="U6" i="32" s="1"/>
  <c r="W66" i="32"/>
  <c r="X66" i="32" s="1"/>
  <c r="T35" i="32"/>
  <c r="T36" i="32" s="1"/>
  <c r="T37" i="32" s="1"/>
  <c r="T38" i="32" s="1"/>
  <c r="T39" i="32" s="1"/>
  <c r="T40" i="32" s="1"/>
  <c r="T41" i="32" s="1"/>
  <c r="T42" i="32" s="1"/>
  <c r="T43" i="32" s="1"/>
  <c r="T44" i="32" s="1"/>
  <c r="T45" i="32" s="1"/>
  <c r="T46" i="32" s="1"/>
  <c r="T47" i="32" s="1"/>
  <c r="T48" i="32" s="1"/>
  <c r="T49" i="32" s="1"/>
  <c r="T50" i="32" s="1"/>
  <c r="T51" i="32" s="1"/>
  <c r="T52" i="32" s="1"/>
  <c r="T53" i="32" s="1"/>
  <c r="T54" i="32" s="1"/>
  <c r="T55" i="32" s="1"/>
  <c r="T56" i="32" s="1"/>
  <c r="T57" i="32" s="1"/>
  <c r="T58" i="32" s="1"/>
  <c r="T59" i="32" s="1"/>
  <c r="P69" i="32"/>
  <c r="L19" i="34"/>
  <c r="L21" i="34"/>
  <c r="C18" i="32"/>
  <c r="A24" i="34" l="1"/>
  <c r="R35" i="32"/>
  <c r="P36" i="32" s="1"/>
  <c r="R36" i="32" s="1"/>
  <c r="P37" i="32" s="1"/>
  <c r="R37" i="32" s="1"/>
  <c r="P38" i="32" s="1"/>
  <c r="R38" i="32" s="1"/>
  <c r="P39" i="32" s="1"/>
  <c r="R39" i="32" s="1"/>
  <c r="P40" i="32" s="1"/>
  <c r="R40" i="32" s="1"/>
  <c r="P41" i="32" s="1"/>
  <c r="R41" i="32" s="1"/>
  <c r="P42" i="32" s="1"/>
  <c r="R42" i="32" s="1"/>
  <c r="P43" i="32" s="1"/>
  <c r="R43" i="32" s="1"/>
  <c r="P44" i="32" s="1"/>
  <c r="R44" i="32" s="1"/>
  <c r="P45" i="32" s="1"/>
  <c r="R45" i="32" s="1"/>
  <c r="P46" i="32" s="1"/>
  <c r="R46" i="32" s="1"/>
  <c r="P47" i="32" s="1"/>
  <c r="R47" i="32" s="1"/>
  <c r="P48" i="32" s="1"/>
  <c r="R48" i="32" s="1"/>
  <c r="P49" i="32" s="1"/>
  <c r="R49" i="32" s="1"/>
  <c r="P50" i="32" s="1"/>
  <c r="R50" i="32" s="1"/>
  <c r="P51" i="32" s="1"/>
  <c r="R51" i="32" s="1"/>
  <c r="P52" i="32" s="1"/>
  <c r="R52" i="32" s="1"/>
  <c r="P53" i="32" s="1"/>
  <c r="R53" i="32" s="1"/>
  <c r="P54" i="32" s="1"/>
  <c r="R54" i="32" s="1"/>
  <c r="P55" i="32" s="1"/>
  <c r="R55" i="32" s="1"/>
  <c r="P56" i="32" s="1"/>
  <c r="R56" i="32" s="1"/>
  <c r="P57" i="32" s="1"/>
  <c r="R57" i="32" s="1"/>
  <c r="P58" i="32" s="1"/>
  <c r="R58" i="32" s="1"/>
  <c r="P59" i="32" s="1"/>
  <c r="R59" i="32" s="1"/>
  <c r="D11" i="35"/>
  <c r="C11" i="35"/>
  <c r="R7" i="32"/>
  <c r="S7" i="32" s="1"/>
  <c r="T67" i="32"/>
  <c r="U67" i="32" s="1"/>
  <c r="U35" i="32"/>
  <c r="P7" i="32"/>
  <c r="Q7" i="32" s="1"/>
  <c r="Q67" i="32"/>
  <c r="R67" i="32" s="1"/>
  <c r="P70" i="32"/>
  <c r="W36" i="32"/>
  <c r="W37" i="32" s="1"/>
  <c r="W38" i="32" s="1"/>
  <c r="W39" i="32" s="1"/>
  <c r="W40" i="32" s="1"/>
  <c r="W41" i="32" s="1"/>
  <c r="W42" i="32" s="1"/>
  <c r="W43" i="32" s="1"/>
  <c r="W44" i="32" s="1"/>
  <c r="W45" i="32" s="1"/>
  <c r="W46" i="32" s="1"/>
  <c r="W47" i="32" s="1"/>
  <c r="W48" i="32" s="1"/>
  <c r="W49" i="32" s="1"/>
  <c r="W50" i="32" s="1"/>
  <c r="W51" i="32" s="1"/>
  <c r="W52" i="32" s="1"/>
  <c r="W53" i="32" s="1"/>
  <c r="W54" i="32" s="1"/>
  <c r="W55" i="32" s="1"/>
  <c r="W56" i="32" s="1"/>
  <c r="W57" i="32" s="1"/>
  <c r="W58" i="32" s="1"/>
  <c r="W59" i="32" s="1"/>
  <c r="X35" i="32"/>
  <c r="W67" i="32"/>
  <c r="X67" i="32" s="1"/>
  <c r="T7" i="32"/>
  <c r="U7" i="32" s="1"/>
  <c r="E11" i="35" l="1"/>
  <c r="F11" i="35" s="1"/>
  <c r="B12" i="35" s="1"/>
  <c r="S65" i="32"/>
  <c r="S67" i="32"/>
  <c r="S66" i="32"/>
  <c r="D12" i="35"/>
  <c r="C12" i="35"/>
  <c r="E12" i="35" s="1"/>
  <c r="F12" i="35" s="1"/>
  <c r="B13" i="35" s="1"/>
  <c r="P71" i="32"/>
  <c r="S36" i="32"/>
  <c r="U36" i="32" s="1"/>
  <c r="V65" i="32"/>
  <c r="T8" i="32"/>
  <c r="U8" i="32" s="1"/>
  <c r="W68" i="32"/>
  <c r="X68" i="32" s="1"/>
  <c r="P8" i="32"/>
  <c r="Q8" i="32" s="1"/>
  <c r="Q68" i="32"/>
  <c r="R68" i="32" s="1"/>
  <c r="S68" i="32" s="1"/>
  <c r="V36" i="32"/>
  <c r="X36" i="32" s="1"/>
  <c r="Y65" i="32"/>
  <c r="T68" i="32"/>
  <c r="U68" i="32" s="1"/>
  <c r="R8" i="32"/>
  <c r="S8" i="32" s="1"/>
  <c r="K6" i="32"/>
  <c r="D13" i="35" l="1"/>
  <c r="C13" i="35"/>
  <c r="E13" i="35" s="1"/>
  <c r="F13" i="35" s="1"/>
  <c r="B14" i="35" s="1"/>
  <c r="S37" i="32"/>
  <c r="U37" i="32" s="1"/>
  <c r="V66" i="32"/>
  <c r="T9" i="32"/>
  <c r="U9" i="32" s="1"/>
  <c r="W69" i="32"/>
  <c r="X69" i="32" s="1"/>
  <c r="P72" i="32"/>
  <c r="R9" i="32"/>
  <c r="S9" i="32" s="1"/>
  <c r="T69" i="32"/>
  <c r="U69" i="32" s="1"/>
  <c r="V37" i="32"/>
  <c r="X37" i="32" s="1"/>
  <c r="Y66" i="32"/>
  <c r="Q69" i="32"/>
  <c r="R69" i="32" s="1"/>
  <c r="S69" i="32" s="1"/>
  <c r="P9" i="32"/>
  <c r="Q9" i="32" s="1"/>
  <c r="D14" i="35" l="1"/>
  <c r="C14" i="35"/>
  <c r="E14" i="35" s="1"/>
  <c r="F14" i="35" s="1"/>
  <c r="B15" i="35" s="1"/>
  <c r="T10" i="32"/>
  <c r="U10" i="32" s="1"/>
  <c r="W70" i="32"/>
  <c r="X70" i="32" s="1"/>
  <c r="Q70" i="32"/>
  <c r="R70" i="32" s="1"/>
  <c r="S70" i="32" s="1"/>
  <c r="P10" i="32"/>
  <c r="Q10" i="32" s="1"/>
  <c r="V38" i="32"/>
  <c r="X38" i="32" s="1"/>
  <c r="Y67" i="32"/>
  <c r="R10" i="32"/>
  <c r="S10" i="32" s="1"/>
  <c r="T70" i="32"/>
  <c r="U70" i="32" s="1"/>
  <c r="P73" i="32"/>
  <c r="S38" i="32"/>
  <c r="U38" i="32" s="1"/>
  <c r="V67" i="32"/>
  <c r="D15" i="35" l="1"/>
  <c r="C15" i="35"/>
  <c r="P11" i="32"/>
  <c r="Q11" i="32" s="1"/>
  <c r="Q71" i="32"/>
  <c r="R71" i="32" s="1"/>
  <c r="S71" i="32" s="1"/>
  <c r="T11" i="32"/>
  <c r="U11" i="32" s="1"/>
  <c r="W71" i="32"/>
  <c r="X71" i="32" s="1"/>
  <c r="S39" i="32"/>
  <c r="U39" i="32" s="1"/>
  <c r="V68" i="32"/>
  <c r="V39" i="32"/>
  <c r="X39" i="32" s="1"/>
  <c r="Y68" i="32"/>
  <c r="P74" i="32"/>
  <c r="R11" i="32"/>
  <c r="S11" i="32" s="1"/>
  <c r="T71" i="32"/>
  <c r="U71" i="32" s="1"/>
  <c r="E15" i="35" l="1"/>
  <c r="F15" i="35" s="1"/>
  <c r="B16" i="35" s="1"/>
  <c r="C16" i="35"/>
  <c r="D16" i="35"/>
  <c r="S40" i="32"/>
  <c r="U40" i="32" s="1"/>
  <c r="V69" i="32"/>
  <c r="T12" i="32"/>
  <c r="U12" i="32" s="1"/>
  <c r="W72" i="32"/>
  <c r="X72" i="32" s="1"/>
  <c r="P75" i="32"/>
  <c r="T72" i="32"/>
  <c r="U72" i="32" s="1"/>
  <c r="R12" i="32"/>
  <c r="S12" i="32" s="1"/>
  <c r="V40" i="32"/>
  <c r="X40" i="32" s="1"/>
  <c r="Y69" i="32"/>
  <c r="P12" i="32"/>
  <c r="Q12" i="32" s="1"/>
  <c r="Q72" i="32"/>
  <c r="R72" i="32" s="1"/>
  <c r="S72" i="32" s="1"/>
  <c r="E16" i="35" l="1"/>
  <c r="F16" i="35" s="1"/>
  <c r="B17" i="35" s="1"/>
  <c r="C17" i="35"/>
  <c r="D17" i="35"/>
  <c r="V41" i="32"/>
  <c r="X41" i="32" s="1"/>
  <c r="Y70" i="32"/>
  <c r="T13" i="32"/>
  <c r="U13" i="32" s="1"/>
  <c r="W73" i="32"/>
  <c r="X73" i="32" s="1"/>
  <c r="Q73" i="32"/>
  <c r="R73" i="32" s="1"/>
  <c r="S73" i="32" s="1"/>
  <c r="P13" i="32"/>
  <c r="Q13" i="32" s="1"/>
  <c r="R13" i="32"/>
  <c r="S13" i="32" s="1"/>
  <c r="T73" i="32"/>
  <c r="U73" i="32" s="1"/>
  <c r="S41" i="32"/>
  <c r="U41" i="32" s="1"/>
  <c r="V70" i="32"/>
  <c r="P76" i="32"/>
  <c r="B6" i="30"/>
  <c r="D6" i="30" s="1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E17" i="35" l="1"/>
  <c r="F17" i="35" s="1"/>
  <c r="B18" i="35" s="1"/>
  <c r="D18" i="35"/>
  <c r="C18" i="35"/>
  <c r="E18" i="35" s="1"/>
  <c r="F18" i="35" s="1"/>
  <c r="B19" i="35" s="1"/>
  <c r="R14" i="32"/>
  <c r="S14" i="32" s="1"/>
  <c r="T74" i="32"/>
  <c r="U74" i="32" s="1"/>
  <c r="P77" i="32"/>
  <c r="Q74" i="32"/>
  <c r="R74" i="32" s="1"/>
  <c r="S74" i="32" s="1"/>
  <c r="P14" i="32"/>
  <c r="Q14" i="32" s="1"/>
  <c r="T14" i="32"/>
  <c r="U14" i="32" s="1"/>
  <c r="W74" i="32"/>
  <c r="X74" i="32" s="1"/>
  <c r="S42" i="32"/>
  <c r="U42" i="32" s="1"/>
  <c r="V71" i="32"/>
  <c r="V42" i="32"/>
  <c r="X42" i="32" s="1"/>
  <c r="Y71" i="32"/>
  <c r="D2" i="30"/>
  <c r="C6" i="30" s="1"/>
  <c r="E6" i="30" s="1"/>
  <c r="F6" i="30" s="1"/>
  <c r="B7" i="30" s="1"/>
  <c r="C7" i="30" s="1"/>
  <c r="D19" i="35" l="1"/>
  <c r="C19" i="35"/>
  <c r="E19" i="35" s="1"/>
  <c r="F19" i="35" s="1"/>
  <c r="B20" i="35" s="1"/>
  <c r="V43" i="32"/>
  <c r="X43" i="32" s="1"/>
  <c r="Y72" i="32"/>
  <c r="P78" i="32"/>
  <c r="S43" i="32"/>
  <c r="U43" i="32" s="1"/>
  <c r="V72" i="32"/>
  <c r="T15" i="32"/>
  <c r="U15" i="32" s="1"/>
  <c r="W75" i="32"/>
  <c r="X75" i="32" s="1"/>
  <c r="P15" i="32"/>
  <c r="Q15" i="32" s="1"/>
  <c r="Q75" i="32"/>
  <c r="R75" i="32" s="1"/>
  <c r="S75" i="32" s="1"/>
  <c r="R15" i="32"/>
  <c r="S15" i="32" s="1"/>
  <c r="T75" i="32"/>
  <c r="U75" i="32" s="1"/>
  <c r="D7" i="30"/>
  <c r="E7" i="30" s="1"/>
  <c r="F7" i="30" s="1"/>
  <c r="B8" i="30" s="1"/>
  <c r="C20" i="35" l="1"/>
  <c r="D20" i="35"/>
  <c r="S44" i="32"/>
  <c r="U44" i="32" s="1"/>
  <c r="V73" i="32"/>
  <c r="T76" i="32"/>
  <c r="U76" i="32" s="1"/>
  <c r="R16" i="32"/>
  <c r="S16" i="32" s="1"/>
  <c r="P16" i="32"/>
  <c r="Q16" i="32" s="1"/>
  <c r="Q76" i="32"/>
  <c r="R76" i="32" s="1"/>
  <c r="S76" i="32" s="1"/>
  <c r="P79" i="32"/>
  <c r="K3" i="32" s="1"/>
  <c r="L3" i="32" s="1"/>
  <c r="M3" i="32" s="1"/>
  <c r="T16" i="32"/>
  <c r="U16" i="32" s="1"/>
  <c r="W76" i="32"/>
  <c r="X76" i="32" s="1"/>
  <c r="V44" i="32"/>
  <c r="X44" i="32" s="1"/>
  <c r="Y73" i="32"/>
  <c r="D8" i="30"/>
  <c r="C8" i="30"/>
  <c r="E8" i="30" s="1"/>
  <c r="F8" i="30" s="1"/>
  <c r="B9" i="30" s="1"/>
  <c r="C9" i="30" s="1"/>
  <c r="E20" i="35" l="1"/>
  <c r="F20" i="35" s="1"/>
  <c r="B21" i="35" s="1"/>
  <c r="D9" i="30"/>
  <c r="E9" i="30" s="1"/>
  <c r="F9" i="30" s="1"/>
  <c r="B10" i="30" s="1"/>
  <c r="Q77" i="32"/>
  <c r="R77" i="32" s="1"/>
  <c r="S77" i="32" s="1"/>
  <c r="P17" i="32"/>
  <c r="Q17" i="32" s="1"/>
  <c r="R17" i="32"/>
  <c r="S17" i="32" s="1"/>
  <c r="T77" i="32"/>
  <c r="U77" i="32" s="1"/>
  <c r="V45" i="32"/>
  <c r="X45" i="32" s="1"/>
  <c r="Y74" i="32"/>
  <c r="T17" i="32"/>
  <c r="U17" i="32" s="1"/>
  <c r="W77" i="32"/>
  <c r="X77" i="32" s="1"/>
  <c r="P80" i="32"/>
  <c r="S45" i="32"/>
  <c r="U45" i="32" s="1"/>
  <c r="V74" i="32"/>
  <c r="D21" i="35" l="1"/>
  <c r="C21" i="35"/>
  <c r="E21" i="35" s="1"/>
  <c r="F21" i="35" s="1"/>
  <c r="B22" i="35" s="1"/>
  <c r="P81" i="32"/>
  <c r="Q78" i="32"/>
  <c r="R78" i="32" s="1"/>
  <c r="S78" i="32" s="1"/>
  <c r="P18" i="32"/>
  <c r="Q18" i="32" s="1"/>
  <c r="K4" i="32" s="1"/>
  <c r="S46" i="32"/>
  <c r="U46" i="32" s="1"/>
  <c r="V75" i="32"/>
  <c r="V46" i="32"/>
  <c r="X46" i="32" s="1"/>
  <c r="Y75" i="32"/>
  <c r="R18" i="32"/>
  <c r="S18" i="32" s="1"/>
  <c r="L4" i="32" s="1"/>
  <c r="T78" i="32"/>
  <c r="U78" i="32" s="1"/>
  <c r="T18" i="32"/>
  <c r="U18" i="32" s="1"/>
  <c r="M4" i="32" s="1"/>
  <c r="W78" i="32"/>
  <c r="X78" i="32" s="1"/>
  <c r="D10" i="30"/>
  <c r="C10" i="30"/>
  <c r="E10" i="30" s="1"/>
  <c r="F10" i="30" s="1"/>
  <c r="B11" i="30" s="1"/>
  <c r="K11" i="32" l="1"/>
  <c r="K18" i="32" s="1"/>
  <c r="K20" i="32" s="1"/>
  <c r="K5" i="32"/>
  <c r="K7" i="32" s="1"/>
  <c r="K21" i="32"/>
  <c r="L5" i="32"/>
  <c r="L11" i="32"/>
  <c r="L18" i="32" s="1"/>
  <c r="L20" i="32" s="1"/>
  <c r="L21" i="32"/>
  <c r="M5" i="32"/>
  <c r="M21" i="32"/>
  <c r="M11" i="32"/>
  <c r="M18" i="32" s="1"/>
  <c r="M20" i="32" s="1"/>
  <c r="D22" i="35"/>
  <c r="C22" i="35"/>
  <c r="E22" i="35" s="1"/>
  <c r="F22" i="35" s="1"/>
  <c r="B23" i="35" s="1"/>
  <c r="S47" i="32"/>
  <c r="U47" i="32" s="1"/>
  <c r="V76" i="32"/>
  <c r="W79" i="32"/>
  <c r="X79" i="32" s="1"/>
  <c r="T19" i="32"/>
  <c r="U19" i="32" s="1"/>
  <c r="P19" i="32"/>
  <c r="Q19" i="32" s="1"/>
  <c r="Q79" i="32"/>
  <c r="R79" i="32" s="1"/>
  <c r="S79" i="32" s="1"/>
  <c r="R19" i="32"/>
  <c r="S19" i="32" s="1"/>
  <c r="T79" i="32"/>
  <c r="U79" i="32" s="1"/>
  <c r="P82" i="32"/>
  <c r="V47" i="32"/>
  <c r="X47" i="32" s="1"/>
  <c r="Y76" i="32"/>
  <c r="D11" i="30"/>
  <c r="C11" i="30"/>
  <c r="E11" i="30" s="1"/>
  <c r="F11" i="30" s="1"/>
  <c r="B12" i="30" s="1"/>
  <c r="M23" i="32" l="1"/>
  <c r="L23" i="32"/>
  <c r="K23" i="32"/>
  <c r="D23" i="35"/>
  <c r="C23" i="35"/>
  <c r="E23" i="35" s="1"/>
  <c r="F23" i="35" s="1"/>
  <c r="B24" i="35" s="1"/>
  <c r="V48" i="32"/>
  <c r="X48" i="32" s="1"/>
  <c r="Y77" i="32"/>
  <c r="T80" i="32"/>
  <c r="U80" i="32" s="1"/>
  <c r="R20" i="32"/>
  <c r="S20" i="32" s="1"/>
  <c r="T20" i="32"/>
  <c r="U20" i="32" s="1"/>
  <c r="W80" i="32"/>
  <c r="X80" i="32" s="1"/>
  <c r="P83" i="32"/>
  <c r="P20" i="32"/>
  <c r="Q20" i="32" s="1"/>
  <c r="Q80" i="32"/>
  <c r="R80" i="32" s="1"/>
  <c r="S80" i="32" s="1"/>
  <c r="S48" i="32"/>
  <c r="U48" i="32" s="1"/>
  <c r="V77" i="32"/>
  <c r="D12" i="30"/>
  <c r="C12" i="30"/>
  <c r="E12" i="30" s="1"/>
  <c r="F12" i="30" s="1"/>
  <c r="B13" i="30" s="1"/>
  <c r="C24" i="35" l="1"/>
  <c r="E24" i="35" s="1"/>
  <c r="F24" i="35" s="1"/>
  <c r="B25" i="35" s="1"/>
  <c r="D24" i="35"/>
  <c r="T21" i="32"/>
  <c r="U21" i="32" s="1"/>
  <c r="W81" i="32"/>
  <c r="X81" i="32" s="1"/>
  <c r="S49" i="32"/>
  <c r="U49" i="32" s="1"/>
  <c r="L6" i="32" s="1"/>
  <c r="L7" i="32" s="1"/>
  <c r="V78" i="32"/>
  <c r="Q81" i="32"/>
  <c r="R81" i="32" s="1"/>
  <c r="S81" i="32" s="1"/>
  <c r="P21" i="32"/>
  <c r="Q21" i="32" s="1"/>
  <c r="R21" i="32"/>
  <c r="S21" i="32" s="1"/>
  <c r="T81" i="32"/>
  <c r="U81" i="32" s="1"/>
  <c r="P84" i="32"/>
  <c r="V49" i="32"/>
  <c r="X49" i="32" s="1"/>
  <c r="M6" i="32" s="1"/>
  <c r="M7" i="32" s="1"/>
  <c r="M8" i="32" s="1"/>
  <c r="Y78" i="32"/>
  <c r="C13" i="30"/>
  <c r="D13" i="30"/>
  <c r="D25" i="35" l="1"/>
  <c r="C25" i="35"/>
  <c r="E25" i="35" s="1"/>
  <c r="F25" i="35" s="1"/>
  <c r="B26" i="35" s="1"/>
  <c r="Q82" i="32"/>
  <c r="R82" i="32" s="1"/>
  <c r="S82" i="32" s="1"/>
  <c r="P22" i="32"/>
  <c r="Q22" i="32" s="1"/>
  <c r="V50" i="32"/>
  <c r="X50" i="32" s="1"/>
  <c r="Y79" i="32"/>
  <c r="P85" i="32"/>
  <c r="T82" i="32"/>
  <c r="U82" i="32" s="1"/>
  <c r="R22" i="32"/>
  <c r="S22" i="32" s="1"/>
  <c r="S50" i="32"/>
  <c r="U50" i="32" s="1"/>
  <c r="V79" i="32"/>
  <c r="T22" i="32"/>
  <c r="U22" i="32" s="1"/>
  <c r="W82" i="32"/>
  <c r="X82" i="32" s="1"/>
  <c r="E13" i="30"/>
  <c r="F13" i="30" s="1"/>
  <c r="B14" i="30" s="1"/>
  <c r="D26" i="35" l="1"/>
  <c r="C26" i="35"/>
  <c r="E26" i="35" s="1"/>
  <c r="F26" i="35" s="1"/>
  <c r="B27" i="35" s="1"/>
  <c r="S51" i="32"/>
  <c r="U51" i="32" s="1"/>
  <c r="V80" i="32"/>
  <c r="P86" i="32"/>
  <c r="R23" i="32"/>
  <c r="S23" i="32" s="1"/>
  <c r="T83" i="32"/>
  <c r="U83" i="32" s="1"/>
  <c r="W83" i="32"/>
  <c r="X83" i="32" s="1"/>
  <c r="T23" i="32"/>
  <c r="U23" i="32" s="1"/>
  <c r="V51" i="32"/>
  <c r="X51" i="32" s="1"/>
  <c r="Y80" i="32"/>
  <c r="P23" i="32"/>
  <c r="Q23" i="32" s="1"/>
  <c r="Q83" i="32"/>
  <c r="R83" i="32" s="1"/>
  <c r="S83" i="32" s="1"/>
  <c r="D14" i="30"/>
  <c r="C14" i="30"/>
  <c r="D27" i="35" l="1"/>
  <c r="C27" i="35"/>
  <c r="E27" i="35" s="1"/>
  <c r="F27" i="35" s="1"/>
  <c r="B28" i="35" s="1"/>
  <c r="E14" i="30"/>
  <c r="F14" i="30" s="1"/>
  <c r="B15" i="30" s="1"/>
  <c r="D15" i="30" s="1"/>
  <c r="T84" i="32"/>
  <c r="U84" i="32" s="1"/>
  <c r="R24" i="32"/>
  <c r="S24" i="32" s="1"/>
  <c r="V52" i="32"/>
  <c r="X52" i="32" s="1"/>
  <c r="Y81" i="32"/>
  <c r="P87" i="32"/>
  <c r="P24" i="32"/>
  <c r="Q24" i="32" s="1"/>
  <c r="Q84" i="32"/>
  <c r="R84" i="32" s="1"/>
  <c r="S84" i="32" s="1"/>
  <c r="T24" i="32"/>
  <c r="U24" i="32" s="1"/>
  <c r="W84" i="32"/>
  <c r="X84" i="32" s="1"/>
  <c r="S52" i="32"/>
  <c r="U52" i="32" s="1"/>
  <c r="V81" i="32"/>
  <c r="D28" i="35" l="1"/>
  <c r="C28" i="35"/>
  <c r="E28" i="35" s="1"/>
  <c r="F28" i="35" s="1"/>
  <c r="B29" i="35" s="1"/>
  <c r="C15" i="30"/>
  <c r="E15" i="30" s="1"/>
  <c r="F15" i="30" s="1"/>
  <c r="B16" i="30" s="1"/>
  <c r="P88" i="32"/>
  <c r="V53" i="32"/>
  <c r="X53" i="32" s="1"/>
  <c r="Y82" i="32"/>
  <c r="S53" i="32"/>
  <c r="U53" i="32" s="1"/>
  <c r="V82" i="32"/>
  <c r="T25" i="32"/>
  <c r="U25" i="32" s="1"/>
  <c r="W85" i="32"/>
  <c r="X85" i="32" s="1"/>
  <c r="R25" i="32"/>
  <c r="S25" i="32" s="1"/>
  <c r="T85" i="32"/>
  <c r="U85" i="32" s="1"/>
  <c r="Q85" i="32"/>
  <c r="R85" i="32" s="1"/>
  <c r="S85" i="32" s="1"/>
  <c r="P25" i="32"/>
  <c r="Q25" i="32" s="1"/>
  <c r="C29" i="35" l="1"/>
  <c r="D29" i="35"/>
  <c r="C16" i="30"/>
  <c r="D16" i="30"/>
  <c r="Q86" i="32"/>
  <c r="R86" i="32" s="1"/>
  <c r="S86" i="32" s="1"/>
  <c r="P26" i="32"/>
  <c r="Q26" i="32" s="1"/>
  <c r="S54" i="32"/>
  <c r="U54" i="32" s="1"/>
  <c r="V83" i="32"/>
  <c r="V54" i="32"/>
  <c r="X54" i="32" s="1"/>
  <c r="Y83" i="32"/>
  <c r="P89" i="32"/>
  <c r="R26" i="32"/>
  <c r="S26" i="32" s="1"/>
  <c r="T86" i="32"/>
  <c r="U86" i="32" s="1"/>
  <c r="T26" i="32"/>
  <c r="U26" i="32" s="1"/>
  <c r="W86" i="32"/>
  <c r="X86" i="32" s="1"/>
  <c r="E29" i="35" l="1"/>
  <c r="F29" i="35" s="1"/>
  <c r="B30" i="35" s="1"/>
  <c r="E16" i="30"/>
  <c r="F16" i="30" s="1"/>
  <c r="B17" i="30" s="1"/>
  <c r="D17" i="30" s="1"/>
  <c r="C17" i="30"/>
  <c r="E17" i="30" s="1"/>
  <c r="F17" i="30" s="1"/>
  <c r="B18" i="30" s="1"/>
  <c r="R27" i="32"/>
  <c r="S27" i="32" s="1"/>
  <c r="T87" i="32"/>
  <c r="U87" i="32" s="1"/>
  <c r="V55" i="32"/>
  <c r="X55" i="32" s="1"/>
  <c r="Y84" i="32"/>
  <c r="P27" i="32"/>
  <c r="Q27" i="32" s="1"/>
  <c r="Q87" i="32"/>
  <c r="R87" i="32" s="1"/>
  <c r="S87" i="32" s="1"/>
  <c r="W87" i="32"/>
  <c r="X87" i="32" s="1"/>
  <c r="T27" i="32"/>
  <c r="U27" i="32" s="1"/>
  <c r="S55" i="32"/>
  <c r="U55" i="32" s="1"/>
  <c r="V84" i="32"/>
  <c r="D30" i="35" l="1"/>
  <c r="C30" i="35"/>
  <c r="E30" i="35" s="1"/>
  <c r="F30" i="35" s="1"/>
  <c r="B31" i="35" s="1"/>
  <c r="C18" i="30"/>
  <c r="D18" i="30"/>
  <c r="P28" i="32"/>
  <c r="Q28" i="32" s="1"/>
  <c r="Q89" i="32" s="1"/>
  <c r="R89" i="32" s="1"/>
  <c r="S89" i="32" s="1"/>
  <c r="Q88" i="32"/>
  <c r="R88" i="32" s="1"/>
  <c r="S88" i="32" s="1"/>
  <c r="S56" i="32"/>
  <c r="U56" i="32" s="1"/>
  <c r="V85" i="32"/>
  <c r="V56" i="32"/>
  <c r="X56" i="32" s="1"/>
  <c r="Y85" i="32"/>
  <c r="T28" i="32"/>
  <c r="U28" i="32" s="1"/>
  <c r="W89" i="32" s="1"/>
  <c r="X89" i="32" s="1"/>
  <c r="W88" i="32"/>
  <c r="X88" i="32" s="1"/>
  <c r="T88" i="32"/>
  <c r="U88" i="32" s="1"/>
  <c r="R28" i="32"/>
  <c r="S28" i="32" s="1"/>
  <c r="T89" i="32" s="1"/>
  <c r="U89" i="32" s="1"/>
  <c r="D31" i="35" l="1"/>
  <c r="C31" i="35"/>
  <c r="E31" i="35" s="1"/>
  <c r="F31" i="35" s="1"/>
  <c r="B32" i="35" s="1"/>
  <c r="E18" i="30"/>
  <c r="F18" i="30" s="1"/>
  <c r="B19" i="30" s="1"/>
  <c r="V57" i="32"/>
  <c r="X57" i="32" s="1"/>
  <c r="Y86" i="32"/>
  <c r="S57" i="32"/>
  <c r="U57" i="32" s="1"/>
  <c r="V86" i="32"/>
  <c r="D32" i="35" l="1"/>
  <c r="C32" i="35"/>
  <c r="E32" i="35" s="1"/>
  <c r="F32" i="35" s="1"/>
  <c r="B33" i="35" s="1"/>
  <c r="C19" i="30"/>
  <c r="D19" i="30"/>
  <c r="S58" i="32"/>
  <c r="U58" i="32" s="1"/>
  <c r="V87" i="32"/>
  <c r="V58" i="32"/>
  <c r="X58" i="32" s="1"/>
  <c r="Y87" i="32"/>
  <c r="D33" i="35" l="1"/>
  <c r="C33" i="35"/>
  <c r="E33" i="35" s="1"/>
  <c r="F33" i="35" s="1"/>
  <c r="B34" i="35" s="1"/>
  <c r="E19" i="30"/>
  <c r="F19" i="30" s="1"/>
  <c r="B20" i="30" s="1"/>
  <c r="V59" i="32"/>
  <c r="X59" i="32" s="1"/>
  <c r="Y89" i="32" s="1"/>
  <c r="Y88" i="32"/>
  <c r="S59" i="32"/>
  <c r="U59" i="32" s="1"/>
  <c r="V89" i="32" s="1"/>
  <c r="V88" i="32"/>
  <c r="D34" i="35" l="1"/>
  <c r="C34" i="35"/>
  <c r="E34" i="35" s="1"/>
  <c r="F34" i="35" s="1"/>
  <c r="B35" i="35" s="1"/>
  <c r="C20" i="30"/>
  <c r="D20" i="30"/>
  <c r="D35" i="35" l="1"/>
  <c r="C35" i="35"/>
  <c r="E35" i="35" s="1"/>
  <c r="F35" i="35" s="1"/>
  <c r="B36" i="35" s="1"/>
  <c r="E20" i="30"/>
  <c r="F20" i="30" s="1"/>
  <c r="B21" i="30" s="1"/>
  <c r="C21" i="30"/>
  <c r="D21" i="30"/>
  <c r="C36" i="35" l="1"/>
  <c r="D36" i="35"/>
  <c r="E21" i="30"/>
  <c r="F21" i="30" s="1"/>
  <c r="B22" i="30" s="1"/>
  <c r="E36" i="35" l="1"/>
  <c r="F36" i="35" s="1"/>
  <c r="B37" i="35" s="1"/>
  <c r="D22" i="30"/>
  <c r="C22" i="30"/>
  <c r="E22" i="30" s="1"/>
  <c r="F22" i="30" s="1"/>
  <c r="B23" i="30" s="1"/>
  <c r="D37" i="35" l="1"/>
  <c r="C37" i="35"/>
  <c r="E37" i="35" s="1"/>
  <c r="F37" i="35" s="1"/>
  <c r="B38" i="35" s="1"/>
  <c r="D23" i="30"/>
  <c r="C23" i="30"/>
  <c r="E23" i="30" s="1"/>
  <c r="F23" i="30" s="1"/>
  <c r="B24" i="30" s="1"/>
  <c r="D38" i="35" l="1"/>
  <c r="C38" i="35"/>
  <c r="E38" i="35" s="1"/>
  <c r="F38" i="35" s="1"/>
  <c r="B39" i="35" s="1"/>
  <c r="C24" i="30"/>
  <c r="D24" i="30"/>
  <c r="D39" i="35" l="1"/>
  <c r="C39" i="35"/>
  <c r="E39" i="35" s="1"/>
  <c r="F39" i="35" s="1"/>
  <c r="B40" i="35" s="1"/>
  <c r="E24" i="30"/>
  <c r="F24" i="30" s="1"/>
  <c r="B25" i="30" s="1"/>
  <c r="C25" i="30"/>
  <c r="D25" i="30"/>
  <c r="D40" i="35" l="1"/>
  <c r="C40" i="35"/>
  <c r="E40" i="35" s="1"/>
  <c r="F40" i="35" s="1"/>
  <c r="B41" i="35" s="1"/>
  <c r="E25" i="30"/>
  <c r="F25" i="30" s="1"/>
  <c r="B26" i="30" s="1"/>
  <c r="D26" i="30" s="1"/>
  <c r="C26" i="30"/>
  <c r="E26" i="30" l="1"/>
  <c r="F26" i="30" s="1"/>
  <c r="B27" i="30" s="1"/>
  <c r="D41" i="35"/>
  <c r="C41" i="35"/>
  <c r="E41" i="35" s="1"/>
  <c r="F41" i="35" s="1"/>
  <c r="B42" i="35" s="1"/>
  <c r="D27" i="30"/>
  <c r="C27" i="30"/>
  <c r="E27" i="30" s="1"/>
  <c r="F27" i="30" s="1"/>
  <c r="B28" i="30" s="1"/>
  <c r="D42" i="35" l="1"/>
  <c r="C42" i="35"/>
  <c r="E42" i="35" s="1"/>
  <c r="F42" i="35" s="1"/>
  <c r="B43" i="35" s="1"/>
  <c r="D28" i="30"/>
  <c r="C28" i="30"/>
  <c r="E28" i="30" s="1"/>
  <c r="F28" i="30" s="1"/>
  <c r="B29" i="30" s="1"/>
  <c r="D43" i="35" l="1"/>
  <c r="C43" i="35"/>
  <c r="E43" i="35" s="1"/>
  <c r="F43" i="35" s="1"/>
  <c r="B44" i="35" s="1"/>
  <c r="C29" i="30"/>
  <c r="D29" i="30"/>
  <c r="D44" i="35" l="1"/>
  <c r="C44" i="35"/>
  <c r="E44" i="35" s="1"/>
  <c r="F44" i="35" s="1"/>
  <c r="B45" i="35" s="1"/>
  <c r="E29" i="30"/>
  <c r="F29" i="30" s="1"/>
  <c r="B30" i="30" s="1"/>
  <c r="C45" i="35" l="1"/>
  <c r="D45" i="35"/>
  <c r="D30" i="30"/>
  <c r="C30" i="30"/>
  <c r="E30" i="30" s="1"/>
  <c r="F30" i="30" s="1"/>
  <c r="B31" i="30" s="1"/>
  <c r="E45" i="35" l="1"/>
  <c r="F45" i="35" s="1"/>
  <c r="B46" i="35" s="1"/>
  <c r="D31" i="30"/>
  <c r="C31" i="30"/>
  <c r="E31" i="30" s="1"/>
  <c r="F31" i="30" s="1"/>
  <c r="B32" i="30" s="1"/>
  <c r="D46" i="35" l="1"/>
  <c r="C46" i="35"/>
  <c r="E46" i="35" s="1"/>
  <c r="F46" i="35" s="1"/>
  <c r="B47" i="35" s="1"/>
  <c r="D32" i="30"/>
  <c r="C32" i="30"/>
  <c r="D47" i="35" l="1"/>
  <c r="C47" i="35"/>
  <c r="E47" i="35" s="1"/>
  <c r="F47" i="35" s="1"/>
  <c r="B48" i="35" s="1"/>
  <c r="E32" i="30"/>
  <c r="F32" i="30" s="1"/>
  <c r="B33" i="30" s="1"/>
  <c r="C33" i="30" s="1"/>
  <c r="D48" i="35" l="1"/>
  <c r="C48" i="35"/>
  <c r="E48" i="35" s="1"/>
  <c r="F48" i="35" s="1"/>
  <c r="B49" i="35" s="1"/>
  <c r="D33" i="30"/>
  <c r="E33" i="30"/>
  <c r="F33" i="30" s="1"/>
  <c r="B34" i="30" s="1"/>
  <c r="D49" i="35" l="1"/>
  <c r="C49" i="35"/>
  <c r="E49" i="35" s="1"/>
  <c r="F49" i="35" s="1"/>
  <c r="B50" i="35" s="1"/>
  <c r="D34" i="30"/>
  <c r="C34" i="30"/>
  <c r="E34" i="30" s="1"/>
  <c r="F34" i="30" s="1"/>
  <c r="B35" i="30" s="1"/>
  <c r="D50" i="35" l="1"/>
  <c r="C50" i="35"/>
  <c r="E50" i="35" s="1"/>
  <c r="F50" i="35" s="1"/>
  <c r="B51" i="35" s="1"/>
  <c r="D35" i="30"/>
  <c r="C35" i="30"/>
  <c r="E35" i="30" s="1"/>
  <c r="F35" i="30" s="1"/>
  <c r="B36" i="30" s="1"/>
  <c r="D51" i="35" l="1"/>
  <c r="C51" i="35"/>
  <c r="E51" i="35" s="1"/>
  <c r="F51" i="35" s="1"/>
  <c r="B52" i="35" s="1"/>
  <c r="C36" i="30"/>
  <c r="D36" i="30"/>
  <c r="D52" i="35" l="1"/>
  <c r="C52" i="35"/>
  <c r="E52" i="35" s="1"/>
  <c r="F52" i="35" s="1"/>
  <c r="B53" i="35" s="1"/>
  <c r="E36" i="30"/>
  <c r="F36" i="30" s="1"/>
  <c r="B37" i="30" s="1"/>
  <c r="D53" i="35" l="1"/>
  <c r="C53" i="35"/>
  <c r="E53" i="35" s="1"/>
  <c r="F53" i="35" s="1"/>
  <c r="B54" i="35" s="1"/>
  <c r="C37" i="30"/>
  <c r="D37" i="30"/>
  <c r="D54" i="35" l="1"/>
  <c r="C54" i="35"/>
  <c r="E54" i="35" s="1"/>
  <c r="F54" i="35" s="1"/>
  <c r="B55" i="35" s="1"/>
  <c r="E37" i="30"/>
  <c r="F37" i="30" s="1"/>
  <c r="B38" i="30" s="1"/>
  <c r="D38" i="30" s="1"/>
  <c r="D55" i="35" l="1"/>
  <c r="C55" i="35"/>
  <c r="E55" i="35" s="1"/>
  <c r="F55" i="35" s="1"/>
  <c r="B56" i="35" s="1"/>
  <c r="C38" i="30"/>
  <c r="E38" i="30" s="1"/>
  <c r="F38" i="30" s="1"/>
  <c r="B39" i="30" s="1"/>
  <c r="D39" i="30" s="1"/>
  <c r="D56" i="35" l="1"/>
  <c r="C56" i="35"/>
  <c r="E56" i="35" s="1"/>
  <c r="F56" i="35" s="1"/>
  <c r="B57" i="35" s="1"/>
  <c r="C39" i="30"/>
  <c r="E39" i="30" s="1"/>
  <c r="F39" i="30" s="1"/>
  <c r="B40" i="30" s="1"/>
  <c r="C57" i="35" l="1"/>
  <c r="D57" i="35"/>
  <c r="D40" i="30"/>
  <c r="C40" i="30"/>
  <c r="E40" i="30" s="1"/>
  <c r="F40" i="30" s="1"/>
  <c r="B41" i="30" s="1"/>
  <c r="E57" i="35" l="1"/>
  <c r="F57" i="35" s="1"/>
  <c r="B58" i="35" s="1"/>
  <c r="C41" i="30"/>
  <c r="D41" i="30"/>
  <c r="E41" i="30" l="1"/>
  <c r="F41" i="30" s="1"/>
  <c r="B42" i="30" s="1"/>
  <c r="D42" i="30" s="1"/>
  <c r="D58" i="35"/>
  <c r="C58" i="35"/>
  <c r="E58" i="35" s="1"/>
  <c r="F58" i="35" s="1"/>
  <c r="B59" i="35" s="1"/>
  <c r="C42" i="30" l="1"/>
  <c r="E42" i="30" s="1"/>
  <c r="F42" i="30" s="1"/>
  <c r="B43" i="30" s="1"/>
  <c r="D59" i="35"/>
  <c r="C59" i="35"/>
  <c r="E59" i="35" s="1"/>
  <c r="F59" i="35" s="1"/>
  <c r="B60" i="35" s="1"/>
  <c r="D60" i="35" l="1"/>
  <c r="C60" i="35"/>
  <c r="E60" i="35" s="1"/>
  <c r="F60" i="35" s="1"/>
  <c r="B61" i="35" s="1"/>
  <c r="D43" i="30"/>
  <c r="C43" i="30"/>
  <c r="E43" i="30" s="1"/>
  <c r="F43" i="30" s="1"/>
  <c r="B44" i="30" s="1"/>
  <c r="D61" i="35" l="1"/>
  <c r="C61" i="35"/>
  <c r="E61" i="35" s="1"/>
  <c r="F61" i="35" s="1"/>
  <c r="B62" i="35" s="1"/>
  <c r="D44" i="30"/>
  <c r="C44" i="30"/>
  <c r="E44" i="30" s="1"/>
  <c r="F44" i="30" s="1"/>
  <c r="B45" i="30" s="1"/>
  <c r="D62" i="35" l="1"/>
  <c r="C62" i="35"/>
  <c r="E62" i="35" s="1"/>
  <c r="F62" i="35" s="1"/>
  <c r="B63" i="35" s="1"/>
  <c r="C45" i="30"/>
  <c r="D45" i="30"/>
  <c r="D63" i="35" l="1"/>
  <c r="C63" i="35"/>
  <c r="E63" i="35" s="1"/>
  <c r="F63" i="35" s="1"/>
  <c r="B64" i="35" s="1"/>
  <c r="E45" i="30"/>
  <c r="F45" i="30" s="1"/>
  <c r="B46" i="30" s="1"/>
  <c r="C64" i="35" l="1"/>
  <c r="D64" i="35"/>
  <c r="C46" i="30"/>
  <c r="D46" i="30"/>
  <c r="E64" i="35" l="1"/>
  <c r="F64" i="35" s="1"/>
  <c r="B65" i="35" s="1"/>
  <c r="E46" i="30"/>
  <c r="F46" i="30" s="1"/>
  <c r="B47" i="30" s="1"/>
  <c r="D65" i="35" l="1"/>
  <c r="C65" i="35"/>
  <c r="E65" i="35" s="1"/>
  <c r="F65" i="35" s="1"/>
  <c r="B66" i="35" s="1"/>
  <c r="C47" i="30"/>
  <c r="D47" i="30"/>
  <c r="D66" i="35" l="1"/>
  <c r="C66" i="35"/>
  <c r="E66" i="35" s="1"/>
  <c r="F66" i="35" s="1"/>
  <c r="B67" i="35" s="1"/>
  <c r="E47" i="30"/>
  <c r="F47" i="30" s="1"/>
  <c r="B48" i="30" s="1"/>
  <c r="D67" i="35" l="1"/>
  <c r="C67" i="35"/>
  <c r="E67" i="35" s="1"/>
  <c r="F67" i="35" s="1"/>
  <c r="B68" i="35" s="1"/>
  <c r="D48" i="30"/>
  <c r="C48" i="30"/>
  <c r="D68" i="35" l="1"/>
  <c r="C68" i="35"/>
  <c r="E68" i="35" s="1"/>
  <c r="F68" i="35" s="1"/>
  <c r="B69" i="35" s="1"/>
  <c r="E48" i="30"/>
  <c r="F48" i="30" s="1"/>
  <c r="B49" i="30" s="1"/>
  <c r="D69" i="35" l="1"/>
  <c r="C69" i="35"/>
  <c r="E69" i="35" s="1"/>
  <c r="F69" i="35" s="1"/>
  <c r="B70" i="35" s="1"/>
  <c r="D49" i="30"/>
  <c r="C49" i="30"/>
  <c r="E49" i="30" s="1"/>
  <c r="F49" i="30" s="1"/>
  <c r="B50" i="30" s="1"/>
  <c r="D70" i="35" l="1"/>
  <c r="C70" i="35"/>
  <c r="E70" i="35" s="1"/>
  <c r="F70" i="35" s="1"/>
  <c r="B71" i="35" s="1"/>
  <c r="C50" i="30"/>
  <c r="D50" i="30"/>
  <c r="D71" i="35" l="1"/>
  <c r="C71" i="35"/>
  <c r="E71" i="35" s="1"/>
  <c r="F71" i="35" s="1"/>
  <c r="B72" i="35" s="1"/>
  <c r="E50" i="30"/>
  <c r="F50" i="30" s="1"/>
  <c r="B51" i="30" s="1"/>
  <c r="C72" i="35" l="1"/>
  <c r="D72" i="35"/>
  <c r="D51" i="30"/>
  <c r="C51" i="30"/>
  <c r="E51" i="30" s="1"/>
  <c r="F51" i="30" s="1"/>
  <c r="B52" i="30" s="1"/>
  <c r="E72" i="35" l="1"/>
  <c r="F72" i="35" s="1"/>
  <c r="B73" i="35" s="1"/>
  <c r="D52" i="30"/>
  <c r="C52" i="30"/>
  <c r="E52" i="30" s="1"/>
  <c r="F52" i="30" s="1"/>
  <c r="B53" i="30" s="1"/>
  <c r="D73" i="35" l="1"/>
  <c r="C73" i="35"/>
  <c r="E73" i="35" s="1"/>
  <c r="F73" i="35" s="1"/>
  <c r="B74" i="35" s="1"/>
  <c r="C53" i="30"/>
  <c r="D53" i="30"/>
  <c r="D74" i="35" l="1"/>
  <c r="C74" i="35"/>
  <c r="E74" i="35" s="1"/>
  <c r="F74" i="35" s="1"/>
  <c r="B75" i="35" s="1"/>
  <c r="E53" i="30"/>
  <c r="F53" i="30" s="1"/>
  <c r="B54" i="30" s="1"/>
  <c r="D75" i="35" l="1"/>
  <c r="C75" i="35"/>
  <c r="E75" i="35" s="1"/>
  <c r="F75" i="35" s="1"/>
  <c r="B76" i="35" s="1"/>
  <c r="C54" i="30"/>
  <c r="D54" i="30"/>
  <c r="D76" i="35" l="1"/>
  <c r="C76" i="35"/>
  <c r="E76" i="35" s="1"/>
  <c r="F76" i="35" s="1"/>
  <c r="B77" i="35" s="1"/>
  <c r="E54" i="30"/>
  <c r="F54" i="30" s="1"/>
  <c r="B55" i="30" s="1"/>
  <c r="D77" i="35" l="1"/>
  <c r="C77" i="35"/>
  <c r="E77" i="35" s="1"/>
  <c r="F77" i="35"/>
  <c r="B78" i="35" s="1"/>
  <c r="D55" i="30"/>
  <c r="C55" i="30"/>
  <c r="E55" i="30" l="1"/>
  <c r="F55" i="30" s="1"/>
  <c r="B56" i="30" s="1"/>
  <c r="D78" i="35"/>
  <c r="C78" i="35"/>
  <c r="E78" i="35" s="1"/>
  <c r="F78" i="35" s="1"/>
  <c r="B79" i="35" s="1"/>
  <c r="D56" i="30"/>
  <c r="C56" i="30"/>
  <c r="E56" i="30" s="1"/>
  <c r="F56" i="30" s="1"/>
  <c r="B57" i="30" s="1"/>
  <c r="D79" i="35" l="1"/>
  <c r="C79" i="35"/>
  <c r="E79" i="35" s="1"/>
  <c r="F79" i="35" s="1"/>
  <c r="B80" i="35" s="1"/>
  <c r="C57" i="30"/>
  <c r="D57" i="30"/>
  <c r="C80" i="35" l="1"/>
  <c r="D80" i="35"/>
  <c r="E57" i="30"/>
  <c r="F57" i="30" s="1"/>
  <c r="B58" i="30" s="1"/>
  <c r="E80" i="35" l="1"/>
  <c r="F80" i="35" s="1"/>
  <c r="B81" i="35" s="1"/>
  <c r="D58" i="30"/>
  <c r="C58" i="30"/>
  <c r="E58" i="30" s="1"/>
  <c r="F58" i="30" s="1"/>
  <c r="B59" i="30" s="1"/>
  <c r="D81" i="35" l="1"/>
  <c r="C81" i="35"/>
  <c r="E81" i="35" s="1"/>
  <c r="F81" i="35" s="1"/>
  <c r="B82" i="35" s="1"/>
  <c r="D59" i="30"/>
  <c r="C59" i="30"/>
  <c r="E59" i="30" s="1"/>
  <c r="F59" i="30" s="1"/>
  <c r="B60" i="30" s="1"/>
  <c r="D82" i="35" l="1"/>
  <c r="C82" i="35"/>
  <c r="E82" i="35" s="1"/>
  <c r="F82" i="35"/>
  <c r="B83" i="35" s="1"/>
  <c r="D60" i="30"/>
  <c r="C60" i="30"/>
  <c r="E60" i="30" s="1"/>
  <c r="F60" i="30" s="1"/>
  <c r="B61" i="30" s="1"/>
  <c r="D83" i="35" l="1"/>
  <c r="C83" i="35"/>
  <c r="E83" i="35" s="1"/>
  <c r="F83" i="35" s="1"/>
  <c r="B84" i="35" s="1"/>
  <c r="C61" i="30"/>
  <c r="D61" i="30"/>
  <c r="D84" i="35" l="1"/>
  <c r="C84" i="35"/>
  <c r="E84" i="35" s="1"/>
  <c r="F84" i="35" s="1"/>
  <c r="B85" i="35" s="1"/>
  <c r="E61" i="30"/>
  <c r="F61" i="30" s="1"/>
  <c r="B62" i="30" s="1"/>
  <c r="D85" i="35" l="1"/>
  <c r="C85" i="35"/>
  <c r="E85" i="35" s="1"/>
  <c r="F85" i="35"/>
  <c r="B86" i="35" s="1"/>
  <c r="D62" i="30"/>
  <c r="C62" i="30"/>
  <c r="E62" i="30" s="1"/>
  <c r="F62" i="30" s="1"/>
  <c r="B63" i="30" s="1"/>
  <c r="D86" i="35" l="1"/>
  <c r="C86" i="35"/>
  <c r="E86" i="35" s="1"/>
  <c r="F86" i="35"/>
  <c r="B87" i="35" s="1"/>
  <c r="D63" i="30"/>
  <c r="C63" i="30"/>
  <c r="E63" i="30" s="1"/>
  <c r="F63" i="30" s="1"/>
  <c r="B64" i="30" s="1"/>
  <c r="D87" i="35" l="1"/>
  <c r="C87" i="35"/>
  <c r="E87" i="35" s="1"/>
  <c r="F87" i="35" s="1"/>
  <c r="B88" i="35" s="1"/>
  <c r="D64" i="30"/>
  <c r="C64" i="30"/>
  <c r="E64" i="30" s="1"/>
  <c r="F64" i="30" s="1"/>
  <c r="B65" i="30" s="1"/>
  <c r="C88" i="35" l="1"/>
  <c r="D88" i="35"/>
  <c r="D65" i="30"/>
  <c r="C65" i="30"/>
  <c r="E65" i="30" s="1"/>
  <c r="F65" i="30" s="1"/>
  <c r="B66" i="30" s="1"/>
  <c r="E88" i="35" l="1"/>
  <c r="F88" i="35" s="1"/>
  <c r="B89" i="35" s="1"/>
  <c r="D66" i="30"/>
  <c r="C66" i="30"/>
  <c r="E66" i="30" s="1"/>
  <c r="F66" i="30" s="1"/>
  <c r="B67" i="30" s="1"/>
  <c r="D89" i="35" l="1"/>
  <c r="C89" i="35"/>
  <c r="E89" i="35" s="1"/>
  <c r="F89" i="35" s="1"/>
  <c r="B90" i="35" s="1"/>
  <c r="C67" i="30"/>
  <c r="D67" i="30"/>
  <c r="D90" i="35" l="1"/>
  <c r="C90" i="35"/>
  <c r="E90" i="35" s="1"/>
  <c r="F90" i="35" s="1"/>
  <c r="B91" i="35" s="1"/>
  <c r="E67" i="30"/>
  <c r="F67" i="30" s="1"/>
  <c r="B68" i="30" s="1"/>
  <c r="D91" i="35" l="1"/>
  <c r="C91" i="35"/>
  <c r="E91" i="35" s="1"/>
  <c r="F91" i="35" s="1"/>
  <c r="B92" i="35" s="1"/>
  <c r="D68" i="30"/>
  <c r="C68" i="30"/>
  <c r="E68" i="30" s="1"/>
  <c r="F68" i="30" s="1"/>
  <c r="B69" i="30" s="1"/>
  <c r="C92" i="35" l="1"/>
  <c r="D92" i="35"/>
  <c r="D69" i="30"/>
  <c r="C69" i="30"/>
  <c r="E69" i="30" s="1"/>
  <c r="F69" i="30" s="1"/>
  <c r="B70" i="30" s="1"/>
  <c r="E92" i="35" l="1"/>
  <c r="F92" i="35" s="1"/>
  <c r="B93" i="35" s="1"/>
  <c r="D93" i="35" s="1"/>
  <c r="D70" i="30"/>
  <c r="C70" i="30"/>
  <c r="E70" i="30" s="1"/>
  <c r="F70" i="30" s="1"/>
  <c r="B71" i="30" s="1"/>
  <c r="C93" i="35" l="1"/>
  <c r="E93" i="35" s="1"/>
  <c r="F93" i="35" s="1"/>
  <c r="B94" i="35" s="1"/>
  <c r="C71" i="30"/>
  <c r="D71" i="30"/>
  <c r="D94" i="35" l="1"/>
  <c r="C94" i="35"/>
  <c r="E94" i="35" s="1"/>
  <c r="F94" i="35" s="1"/>
  <c r="B95" i="35" s="1"/>
  <c r="E71" i="30"/>
  <c r="F71" i="30" s="1"/>
  <c r="B72" i="30" s="1"/>
  <c r="D95" i="35" l="1"/>
  <c r="C95" i="35"/>
  <c r="E95" i="35" s="1"/>
  <c r="F95" i="35" s="1"/>
  <c r="B96" i="35" s="1"/>
  <c r="C96" i="35"/>
  <c r="D96" i="35"/>
  <c r="D72" i="30"/>
  <c r="C72" i="30"/>
  <c r="E72" i="30" s="1"/>
  <c r="F72" i="30" s="1"/>
  <c r="B73" i="30" s="1"/>
  <c r="E96" i="35" l="1"/>
  <c r="F96" i="35" s="1"/>
  <c r="B97" i="35" s="1"/>
  <c r="D73" i="30"/>
  <c r="C73" i="30"/>
  <c r="E73" i="30" s="1"/>
  <c r="F73" i="30" s="1"/>
  <c r="B74" i="30" s="1"/>
  <c r="D97" i="35" l="1"/>
  <c r="C97" i="35"/>
  <c r="E97" i="35" s="1"/>
  <c r="F97" i="35" s="1"/>
  <c r="B98" i="35" s="1"/>
  <c r="D74" i="30"/>
  <c r="C74" i="30"/>
  <c r="E74" i="30" s="1"/>
  <c r="F74" i="30" s="1"/>
  <c r="B75" i="30" s="1"/>
  <c r="D98" i="35" l="1"/>
  <c r="C98" i="35"/>
  <c r="E98" i="35" s="1"/>
  <c r="F98" i="35"/>
  <c r="B99" i="35" s="1"/>
  <c r="C75" i="30"/>
  <c r="D75" i="30"/>
  <c r="D99" i="35" l="1"/>
  <c r="C99" i="35"/>
  <c r="E99" i="35" s="1"/>
  <c r="F99" i="35" s="1"/>
  <c r="B100" i="35" s="1"/>
  <c r="E75" i="30"/>
  <c r="F75" i="30" s="1"/>
  <c r="B76" i="30" s="1"/>
  <c r="C100" i="35" l="1"/>
  <c r="D100" i="35"/>
  <c r="C76" i="30"/>
  <c r="D76" i="30"/>
  <c r="E100" i="35" l="1"/>
  <c r="F100" i="35" s="1"/>
  <c r="B101" i="35" s="1"/>
  <c r="E76" i="30"/>
  <c r="F76" i="30" s="1"/>
  <c r="B77" i="30" s="1"/>
  <c r="D101" i="35" l="1"/>
  <c r="C101" i="35"/>
  <c r="E101" i="35" s="1"/>
  <c r="F101" i="35" s="1"/>
  <c r="B102" i="35" s="1"/>
  <c r="D77" i="30"/>
  <c r="C77" i="30"/>
  <c r="E77" i="30" s="1"/>
  <c r="F77" i="30" s="1"/>
  <c r="B78" i="30" s="1"/>
  <c r="D102" i="35" l="1"/>
  <c r="C102" i="35"/>
  <c r="E102" i="35" s="1"/>
  <c r="F102" i="35"/>
  <c r="B103" i="35" s="1"/>
  <c r="D78" i="30"/>
  <c r="C78" i="30"/>
  <c r="E78" i="30" s="1"/>
  <c r="F78" i="30" s="1"/>
  <c r="B79" i="30" s="1"/>
  <c r="D103" i="35" l="1"/>
  <c r="C103" i="35"/>
  <c r="E103" i="35" s="1"/>
  <c r="F103" i="35" s="1"/>
  <c r="B104" i="35" s="1"/>
  <c r="C79" i="30"/>
  <c r="D79" i="30"/>
  <c r="C104" i="35" l="1"/>
  <c r="D104" i="35"/>
  <c r="E79" i="30"/>
  <c r="F79" i="30" s="1"/>
  <c r="B80" i="30" s="1"/>
  <c r="E104" i="35" l="1"/>
  <c r="F104" i="35" s="1"/>
  <c r="B105" i="35" s="1"/>
  <c r="D80" i="30"/>
  <c r="C80" i="30"/>
  <c r="E80" i="30" s="1"/>
  <c r="F80" i="30" s="1"/>
  <c r="B81" i="30" s="1"/>
  <c r="D105" i="35" l="1"/>
  <c r="C105" i="35"/>
  <c r="E105" i="35" s="1"/>
  <c r="F105" i="35" s="1"/>
  <c r="B106" i="35" s="1"/>
  <c r="D81" i="30"/>
  <c r="C81" i="30"/>
  <c r="E81" i="30" s="1"/>
  <c r="F81" i="30" s="1"/>
  <c r="B82" i="30" s="1"/>
  <c r="D106" i="35" l="1"/>
  <c r="C106" i="35"/>
  <c r="E106" i="35" s="1"/>
  <c r="F106" i="35" s="1"/>
  <c r="B107" i="35" s="1"/>
  <c r="D82" i="30"/>
  <c r="C82" i="30"/>
  <c r="E82" i="30" s="1"/>
  <c r="F82" i="30" s="1"/>
  <c r="B83" i="30" s="1"/>
  <c r="D107" i="35" l="1"/>
  <c r="C107" i="35"/>
  <c r="E107" i="35" s="1"/>
  <c r="F107" i="35" s="1"/>
  <c r="B108" i="35" s="1"/>
  <c r="C83" i="30"/>
  <c r="D83" i="30"/>
  <c r="C108" i="35" l="1"/>
  <c r="D108" i="35"/>
  <c r="E83" i="30"/>
  <c r="F83" i="30" s="1"/>
  <c r="B84" i="30" s="1"/>
  <c r="E108" i="35" l="1"/>
  <c r="F108" i="35" s="1"/>
  <c r="B109" i="35" s="1"/>
  <c r="D84" i="30"/>
  <c r="C84" i="30"/>
  <c r="E84" i="30" s="1"/>
  <c r="F84" i="30" s="1"/>
  <c r="B85" i="30" s="1"/>
  <c r="D109" i="35" l="1"/>
  <c r="C109" i="35"/>
  <c r="E109" i="35" s="1"/>
  <c r="F109" i="35" s="1"/>
  <c r="B110" i="35" s="1"/>
  <c r="D85" i="30"/>
  <c r="C85" i="30"/>
  <c r="E85" i="30" s="1"/>
  <c r="F85" i="30" s="1"/>
  <c r="B86" i="30" s="1"/>
  <c r="D110" i="35" l="1"/>
  <c r="C110" i="35"/>
  <c r="E110" i="35" s="1"/>
  <c r="F110" i="35" s="1"/>
  <c r="B111" i="35" s="1"/>
  <c r="D86" i="30"/>
  <c r="C86" i="30"/>
  <c r="E86" i="30" s="1"/>
  <c r="F86" i="30" s="1"/>
  <c r="B87" i="30" s="1"/>
  <c r="D111" i="35" l="1"/>
  <c r="C111" i="35"/>
  <c r="E111" i="35" s="1"/>
  <c r="F111" i="35" s="1"/>
  <c r="B112" i="35" s="1"/>
  <c r="C87" i="30"/>
  <c r="D87" i="30"/>
  <c r="C112" i="35" l="1"/>
  <c r="D112" i="35"/>
  <c r="E87" i="30"/>
  <c r="F87" i="30" s="1"/>
  <c r="B88" i="30" s="1"/>
  <c r="E112" i="35" l="1"/>
  <c r="F112" i="35" s="1"/>
  <c r="B113" i="35" s="1"/>
  <c r="D113" i="35" s="1"/>
  <c r="D88" i="30"/>
  <c r="C88" i="30"/>
  <c r="E88" i="30" s="1"/>
  <c r="F88" i="30" s="1"/>
  <c r="B89" i="30" s="1"/>
  <c r="C113" i="35" l="1"/>
  <c r="E113" i="35" s="1"/>
  <c r="F113" i="35" s="1"/>
  <c r="B114" i="35" s="1"/>
  <c r="D114" i="35"/>
  <c r="C114" i="35"/>
  <c r="E114" i="35" s="1"/>
  <c r="F114" i="35" s="1"/>
  <c r="B115" i="35" s="1"/>
  <c r="D89" i="30"/>
  <c r="C89" i="30"/>
  <c r="E89" i="30" s="1"/>
  <c r="F89" i="30" s="1"/>
  <c r="B90" i="30" s="1"/>
  <c r="D115" i="35" l="1"/>
  <c r="C115" i="35"/>
  <c r="E115" i="35" s="1"/>
  <c r="F115" i="35" s="1"/>
  <c r="B116" i="35" s="1"/>
  <c r="C90" i="30"/>
  <c r="D90" i="30"/>
  <c r="E90" i="30" l="1"/>
  <c r="F90" i="30" s="1"/>
  <c r="B91" i="30" s="1"/>
  <c r="C116" i="35"/>
  <c r="D116" i="35"/>
  <c r="C91" i="30"/>
  <c r="D91" i="30"/>
  <c r="E91" i="30" l="1"/>
  <c r="F91" i="30" s="1"/>
  <c r="B92" i="30" s="1"/>
  <c r="E116" i="35"/>
  <c r="F116" i="35" s="1"/>
  <c r="B117" i="35" s="1"/>
  <c r="C92" i="30"/>
  <c r="D92" i="30"/>
  <c r="E92" i="30" l="1"/>
  <c r="F92" i="30" s="1"/>
  <c r="B93" i="30" s="1"/>
  <c r="D117" i="35"/>
  <c r="C117" i="35"/>
  <c r="E117" i="35" s="1"/>
  <c r="F117" i="35" s="1"/>
  <c r="B118" i="35" s="1"/>
  <c r="C93" i="30"/>
  <c r="D93" i="30"/>
  <c r="E93" i="30" l="1"/>
  <c r="F93" i="30" s="1"/>
  <c r="B94" i="30" s="1"/>
  <c r="D118" i="35"/>
  <c r="C118" i="35"/>
  <c r="E118" i="35" s="1"/>
  <c r="F118" i="35"/>
  <c r="B119" i="35" s="1"/>
  <c r="D94" i="30"/>
  <c r="C94" i="30"/>
  <c r="E94" i="30" s="1"/>
  <c r="F94" i="30" s="1"/>
  <c r="B95" i="30" s="1"/>
  <c r="D119" i="35" l="1"/>
  <c r="C119" i="35"/>
  <c r="E119" i="35" s="1"/>
  <c r="F119" i="35" s="1"/>
  <c r="B120" i="35" s="1"/>
  <c r="C95" i="30"/>
  <c r="D95" i="30"/>
  <c r="E95" i="30" l="1"/>
  <c r="F95" i="30" s="1"/>
  <c r="B96" i="30" s="1"/>
  <c r="C120" i="35"/>
  <c r="D120" i="35"/>
  <c r="D96" i="30"/>
  <c r="C96" i="30"/>
  <c r="E120" i="35" l="1"/>
  <c r="F120" i="35" s="1"/>
  <c r="B121" i="35" s="1"/>
  <c r="D121" i="35"/>
  <c r="C121" i="35"/>
  <c r="E121" i="35" s="1"/>
  <c r="F121" i="35" s="1"/>
  <c r="B122" i="35" s="1"/>
  <c r="E96" i="30"/>
  <c r="F96" i="30" s="1"/>
  <c r="B97" i="30" s="1"/>
  <c r="D122" i="35" l="1"/>
  <c r="C122" i="35"/>
  <c r="E122" i="35" s="1"/>
  <c r="F122" i="35" s="1"/>
  <c r="B123" i="35" s="1"/>
  <c r="D97" i="30"/>
  <c r="C97" i="30"/>
  <c r="D123" i="35" l="1"/>
  <c r="C123" i="35"/>
  <c r="E123" i="35" s="1"/>
  <c r="F123" i="35" s="1"/>
  <c r="B124" i="35" s="1"/>
  <c r="E97" i="30"/>
  <c r="F97" i="30" s="1"/>
  <c r="B98" i="30" s="1"/>
  <c r="C124" i="35" l="1"/>
  <c r="D124" i="35"/>
  <c r="C98" i="30"/>
  <c r="D98" i="30"/>
  <c r="E98" i="30" l="1"/>
  <c r="F98" i="30" s="1"/>
  <c r="B99" i="30" s="1"/>
  <c r="E124" i="35"/>
  <c r="F124" i="35" s="1"/>
  <c r="B125" i="35" s="1"/>
  <c r="C99" i="30"/>
  <c r="D99" i="30"/>
  <c r="E99" i="30" l="1"/>
  <c r="F99" i="30" s="1"/>
  <c r="B100" i="30" s="1"/>
  <c r="D125" i="35"/>
  <c r="C125" i="35"/>
  <c r="E125" i="35" s="1"/>
  <c r="F125" i="35" s="1"/>
  <c r="B126" i="35" s="1"/>
  <c r="D100" i="30"/>
  <c r="C100" i="30"/>
  <c r="D126" i="35" l="1"/>
  <c r="C126" i="35"/>
  <c r="E126" i="35" s="1"/>
  <c r="F126" i="35" s="1"/>
  <c r="B127" i="35" s="1"/>
  <c r="E100" i="30"/>
  <c r="F100" i="30" s="1"/>
  <c r="B101" i="30" s="1"/>
  <c r="D127" i="35" l="1"/>
  <c r="C127" i="35"/>
  <c r="E127" i="35" s="1"/>
  <c r="F127" i="35" s="1"/>
  <c r="B128" i="35" s="1"/>
  <c r="D101" i="30"/>
  <c r="C101" i="30"/>
  <c r="D128" i="35" l="1"/>
  <c r="C128" i="35"/>
  <c r="E128" i="35" s="1"/>
  <c r="F128" i="35" s="1"/>
  <c r="B129" i="35" s="1"/>
  <c r="E101" i="30"/>
  <c r="F101" i="30" s="1"/>
  <c r="B102" i="30" s="1"/>
  <c r="D129" i="35" l="1"/>
  <c r="C129" i="35"/>
  <c r="E129" i="35" s="1"/>
  <c r="F129" i="35" s="1"/>
  <c r="B130" i="35" s="1"/>
  <c r="C102" i="30"/>
  <c r="D102" i="30"/>
  <c r="E102" i="30" l="1"/>
  <c r="F102" i="30" s="1"/>
  <c r="B103" i="30" s="1"/>
  <c r="C130" i="35"/>
  <c r="D130" i="35"/>
  <c r="C103" i="30"/>
  <c r="D103" i="30"/>
  <c r="E103" i="30" l="1"/>
  <c r="F103" i="30" s="1"/>
  <c r="B104" i="30" s="1"/>
  <c r="E130" i="35"/>
  <c r="F130" i="35" s="1"/>
  <c r="B131" i="35" s="1"/>
  <c r="D104" i="30"/>
  <c r="C104" i="30"/>
  <c r="E104" i="30" s="1"/>
  <c r="F104" i="30" s="1"/>
  <c r="B105" i="30" s="1"/>
  <c r="D131" i="35" l="1"/>
  <c r="C131" i="35"/>
  <c r="E131" i="35" s="1"/>
  <c r="F131" i="35" s="1"/>
  <c r="B132" i="35" s="1"/>
  <c r="D105" i="30"/>
  <c r="C105" i="30"/>
  <c r="E105" i="30" s="1"/>
  <c r="F105" i="30" s="1"/>
  <c r="B106" i="30" s="1"/>
  <c r="D132" i="35" l="1"/>
  <c r="C132" i="35"/>
  <c r="E132" i="35" s="1"/>
  <c r="F132" i="35" s="1"/>
  <c r="B133" i="35" s="1"/>
  <c r="D106" i="30"/>
  <c r="C106" i="30"/>
  <c r="E106" i="30" l="1"/>
  <c r="F106" i="30" s="1"/>
  <c r="B107" i="30" s="1"/>
  <c r="D133" i="35"/>
  <c r="C133" i="35"/>
  <c r="E133" i="35" s="1"/>
  <c r="F133" i="35" s="1"/>
  <c r="B134" i="35" s="1"/>
  <c r="D107" i="30"/>
  <c r="C107" i="30"/>
  <c r="E107" i="30" s="1"/>
  <c r="F107" i="30" s="1"/>
  <c r="B108" i="30" s="1"/>
  <c r="D134" i="35" l="1"/>
  <c r="C134" i="35"/>
  <c r="E134" i="35" s="1"/>
  <c r="F134" i="35" s="1"/>
  <c r="B135" i="35" s="1"/>
  <c r="D108" i="30"/>
  <c r="C108" i="30"/>
  <c r="E108" i="30" s="1"/>
  <c r="F108" i="30" s="1"/>
  <c r="B109" i="30" s="1"/>
  <c r="D135" i="35" l="1"/>
  <c r="C135" i="35"/>
  <c r="E135" i="35" s="1"/>
  <c r="F135" i="35" s="1"/>
  <c r="B136" i="35" s="1"/>
  <c r="D109" i="30"/>
  <c r="C109" i="30"/>
  <c r="E109" i="30" s="1"/>
  <c r="F109" i="30" s="1"/>
  <c r="B110" i="30" s="1"/>
  <c r="D136" i="35" l="1"/>
  <c r="C136" i="35"/>
  <c r="E136" i="35" s="1"/>
  <c r="F136" i="35" s="1"/>
  <c r="B137" i="35" s="1"/>
  <c r="C110" i="30"/>
  <c r="D110" i="30"/>
  <c r="D137" i="35" l="1"/>
  <c r="C137" i="35"/>
  <c r="E137" i="35" s="1"/>
  <c r="F137" i="35" s="1"/>
  <c r="B138" i="35" s="1"/>
  <c r="E110" i="30"/>
  <c r="F110" i="30" s="1"/>
  <c r="B111" i="30" s="1"/>
  <c r="D138" i="35" l="1"/>
  <c r="C138" i="35"/>
  <c r="C111" i="30"/>
  <c r="D111" i="30"/>
  <c r="E138" i="35" l="1"/>
  <c r="F138" i="35" s="1"/>
  <c r="B139" i="35" s="1"/>
  <c r="D139" i="35"/>
  <c r="C139" i="35"/>
  <c r="E139" i="35" s="1"/>
  <c r="F139" i="35" s="1"/>
  <c r="B140" i="35" s="1"/>
  <c r="E111" i="30"/>
  <c r="F111" i="30" s="1"/>
  <c r="B112" i="30" s="1"/>
  <c r="D140" i="35" l="1"/>
  <c r="C140" i="35"/>
  <c r="E140" i="35" s="1"/>
  <c r="F140" i="35" s="1"/>
  <c r="B141" i="35" s="1"/>
  <c r="D112" i="30"/>
  <c r="C112" i="30"/>
  <c r="E112" i="30" s="1"/>
  <c r="F112" i="30" s="1"/>
  <c r="B113" i="30" s="1"/>
  <c r="C141" i="35" l="1"/>
  <c r="D141" i="35"/>
  <c r="D113" i="30"/>
  <c r="C113" i="30"/>
  <c r="E113" i="30" s="1"/>
  <c r="F113" i="30" s="1"/>
  <c r="B114" i="30" s="1"/>
  <c r="E141" i="35" l="1"/>
  <c r="F141" i="35" s="1"/>
  <c r="B142" i="35" s="1"/>
  <c r="D114" i="30"/>
  <c r="C114" i="30"/>
  <c r="E114" i="30" s="1"/>
  <c r="F114" i="30" s="1"/>
  <c r="B115" i="30" s="1"/>
  <c r="C142" i="35" l="1"/>
  <c r="D142" i="35"/>
  <c r="D115" i="30"/>
  <c r="C115" i="30"/>
  <c r="E115" i="30" s="1"/>
  <c r="F115" i="30" s="1"/>
  <c r="B116" i="30" s="1"/>
  <c r="E142" i="35" l="1"/>
  <c r="F142" i="35" s="1"/>
  <c r="B143" i="35" s="1"/>
  <c r="D116" i="30"/>
  <c r="C116" i="30"/>
  <c r="E116" i="30" s="1"/>
  <c r="F116" i="30" s="1"/>
  <c r="B117" i="30" s="1"/>
  <c r="D143" i="35" l="1"/>
  <c r="C143" i="35"/>
  <c r="E143" i="35" s="1"/>
  <c r="F143" i="35" s="1"/>
  <c r="B144" i="35" s="1"/>
  <c r="D117" i="30"/>
  <c r="C117" i="30"/>
  <c r="E117" i="30" s="1"/>
  <c r="F117" i="30" s="1"/>
  <c r="B118" i="30" s="1"/>
  <c r="D144" i="35" l="1"/>
  <c r="C144" i="35"/>
  <c r="E144" i="35" s="1"/>
  <c r="F144" i="35" s="1"/>
  <c r="B145" i="35" s="1"/>
  <c r="D118" i="30"/>
  <c r="C118" i="30"/>
  <c r="E118" i="30" s="1"/>
  <c r="F118" i="30" s="1"/>
  <c r="B119" i="30" s="1"/>
  <c r="D145" i="35" l="1"/>
  <c r="C145" i="35"/>
  <c r="E145" i="35" s="1"/>
  <c r="F145" i="35" s="1"/>
  <c r="B146" i="35" s="1"/>
  <c r="D119" i="30"/>
  <c r="C119" i="30"/>
  <c r="E119" i="30" s="1"/>
  <c r="F119" i="30" s="1"/>
  <c r="B120" i="30" s="1"/>
  <c r="D146" i="35" l="1"/>
  <c r="C146" i="35"/>
  <c r="E146" i="35" s="1"/>
  <c r="F146" i="35" s="1"/>
  <c r="B147" i="35" s="1"/>
  <c r="D120" i="30"/>
  <c r="C120" i="30"/>
  <c r="E120" i="30" s="1"/>
  <c r="F120" i="30" s="1"/>
  <c r="B121" i="30" s="1"/>
  <c r="D147" i="35" l="1"/>
  <c r="C147" i="35"/>
  <c r="E147" i="35" s="1"/>
  <c r="F147" i="35" s="1"/>
  <c r="B148" i="35" s="1"/>
  <c r="D121" i="30"/>
  <c r="C121" i="30"/>
  <c r="E121" i="30" s="1"/>
  <c r="F121" i="30" s="1"/>
  <c r="B122" i="30" s="1"/>
  <c r="D148" i="35" l="1"/>
  <c r="C148" i="35"/>
  <c r="E148" i="35" s="1"/>
  <c r="F148" i="35" s="1"/>
  <c r="B149" i="35" s="1"/>
  <c r="D122" i="30"/>
  <c r="C122" i="30"/>
  <c r="E122" i="30" s="1"/>
  <c r="F122" i="30" s="1"/>
  <c r="B123" i="30" s="1"/>
  <c r="D149" i="35" l="1"/>
  <c r="C149" i="35"/>
  <c r="C123" i="30"/>
  <c r="D123" i="30"/>
  <c r="E149" i="35" l="1"/>
  <c r="F149" i="35" s="1"/>
  <c r="B150" i="35" s="1"/>
  <c r="C150" i="35" s="1"/>
  <c r="E123" i="30"/>
  <c r="F123" i="30" s="1"/>
  <c r="B124" i="30" s="1"/>
  <c r="D150" i="35" l="1"/>
  <c r="E150" i="35" s="1"/>
  <c r="F150" i="35" s="1"/>
  <c r="B151" i="35" s="1"/>
  <c r="D124" i="30"/>
  <c r="C124" i="30"/>
  <c r="E124" i="30" s="1"/>
  <c r="F124" i="30" s="1"/>
  <c r="B125" i="30" s="1"/>
  <c r="D151" i="35" l="1"/>
  <c r="C151" i="35"/>
  <c r="E151" i="35" s="1"/>
  <c r="F151" i="35" s="1"/>
  <c r="B152" i="35" s="1"/>
  <c r="D125" i="30"/>
  <c r="C125" i="30"/>
  <c r="E125" i="30" s="1"/>
  <c r="F125" i="30" s="1"/>
  <c r="B126" i="30" s="1"/>
  <c r="D152" i="35" l="1"/>
  <c r="C152" i="35"/>
  <c r="E152" i="35" s="1"/>
  <c r="F152" i="35" s="1"/>
  <c r="B153" i="35" s="1"/>
  <c r="D126" i="30"/>
  <c r="C126" i="30"/>
  <c r="E126" i="30" s="1"/>
  <c r="F126" i="30" s="1"/>
  <c r="B127" i="30" s="1"/>
  <c r="D153" i="35" l="1"/>
  <c r="C153" i="35"/>
  <c r="E153" i="35" s="1"/>
  <c r="F153" i="35" s="1"/>
  <c r="B154" i="35" s="1"/>
  <c r="D127" i="30"/>
  <c r="C127" i="30"/>
  <c r="E127" i="30" s="1"/>
  <c r="F127" i="30" s="1"/>
  <c r="B128" i="30" s="1"/>
  <c r="C154" i="35" l="1"/>
  <c r="D154" i="35"/>
  <c r="D128" i="30"/>
  <c r="C128" i="30"/>
  <c r="E128" i="30" s="1"/>
  <c r="F128" i="30" s="1"/>
  <c r="B129" i="30" s="1"/>
  <c r="E154" i="35" l="1"/>
  <c r="F154" i="35" s="1"/>
  <c r="B155" i="35" s="1"/>
  <c r="D129" i="30"/>
  <c r="C129" i="30"/>
  <c r="E129" i="30" s="1"/>
  <c r="F129" i="30" s="1"/>
  <c r="B130" i="30" s="1"/>
  <c r="D155" i="35" l="1"/>
  <c r="C155" i="35"/>
  <c r="D130" i="30"/>
  <c r="C130" i="30"/>
  <c r="E130" i="30" s="1"/>
  <c r="F130" i="30" s="1"/>
  <c r="B131" i="30" s="1"/>
  <c r="E155" i="35" l="1"/>
  <c r="F155" i="35" s="1"/>
  <c r="B156" i="35" s="1"/>
  <c r="D156" i="35" s="1"/>
  <c r="D131" i="30"/>
  <c r="C131" i="30"/>
  <c r="E131" i="30" s="1"/>
  <c r="F131" i="30" s="1"/>
  <c r="B132" i="30" s="1"/>
  <c r="C156" i="35" l="1"/>
  <c r="E156" i="35" s="1"/>
  <c r="F156" i="35" s="1"/>
  <c r="B157" i="35" s="1"/>
  <c r="D157" i="35" s="1"/>
  <c r="D132" i="30"/>
  <c r="C132" i="30"/>
  <c r="E132" i="30" s="1"/>
  <c r="F132" i="30" s="1"/>
  <c r="B133" i="30" s="1"/>
  <c r="C157" i="35" l="1"/>
  <c r="E157" i="35" s="1"/>
  <c r="F157" i="35" s="1"/>
  <c r="B158" i="35" s="1"/>
  <c r="C158" i="35" s="1"/>
  <c r="D158" i="35"/>
  <c r="D133" i="30"/>
  <c r="C133" i="30"/>
  <c r="E133" i="30" s="1"/>
  <c r="F133" i="30" s="1"/>
  <c r="B134" i="30" s="1"/>
  <c r="E158" i="35" l="1"/>
  <c r="F158" i="35" s="1"/>
  <c r="B159" i="35" s="1"/>
  <c r="D134" i="30"/>
  <c r="C134" i="30"/>
  <c r="E134" i="30" s="1"/>
  <c r="F134" i="30" s="1"/>
  <c r="B135" i="30" s="1"/>
  <c r="D159" i="35" l="1"/>
  <c r="C159" i="35"/>
  <c r="E159" i="35" s="1"/>
  <c r="F159" i="35" s="1"/>
  <c r="B160" i="35" s="1"/>
  <c r="D135" i="30"/>
  <c r="C135" i="30"/>
  <c r="E135" i="30" s="1"/>
  <c r="F135" i="30" s="1"/>
  <c r="B136" i="30" s="1"/>
  <c r="D160" i="35" l="1"/>
  <c r="C160" i="35"/>
  <c r="E160" i="35" s="1"/>
  <c r="F160" i="35" s="1"/>
  <c r="B161" i="35" s="1"/>
  <c r="D136" i="30"/>
  <c r="C136" i="30"/>
  <c r="E136" i="30" s="1"/>
  <c r="F136" i="30" s="1"/>
  <c r="B137" i="30" s="1"/>
  <c r="D161" i="35" l="1"/>
  <c r="C161" i="35"/>
  <c r="E161" i="35" s="1"/>
  <c r="F161" i="35" s="1"/>
  <c r="B162" i="35" s="1"/>
  <c r="D137" i="30"/>
  <c r="C137" i="30"/>
  <c r="E137" i="30" s="1"/>
  <c r="F137" i="30" s="1"/>
  <c r="B138" i="30" s="1"/>
  <c r="C162" i="35" l="1"/>
  <c r="D162" i="35"/>
  <c r="D138" i="30"/>
  <c r="C138" i="30"/>
  <c r="E138" i="30" s="1"/>
  <c r="F138" i="30" s="1"/>
  <c r="B139" i="30" s="1"/>
  <c r="E162" i="35" l="1"/>
  <c r="F162" i="35" s="1"/>
  <c r="B163" i="35" s="1"/>
  <c r="D139" i="30"/>
  <c r="C139" i="30"/>
  <c r="E139" i="30" s="1"/>
  <c r="F139" i="30" s="1"/>
  <c r="B140" i="30" s="1"/>
  <c r="D163" i="35" l="1"/>
  <c r="C163" i="35"/>
  <c r="E163" i="35" s="1"/>
  <c r="F163" i="35" s="1"/>
  <c r="B164" i="35" s="1"/>
  <c r="D140" i="30"/>
  <c r="C140" i="30"/>
  <c r="E140" i="30" s="1"/>
  <c r="F140" i="30" s="1"/>
  <c r="B141" i="30" s="1"/>
  <c r="D164" i="35" l="1"/>
  <c r="C164" i="35"/>
  <c r="E164" i="35" s="1"/>
  <c r="F164" i="35" s="1"/>
  <c r="B165" i="35" s="1"/>
  <c r="D141" i="30"/>
  <c r="C141" i="30"/>
  <c r="E141" i="30" s="1"/>
  <c r="F141" i="30" s="1"/>
  <c r="B142" i="30" s="1"/>
  <c r="D165" i="35" l="1"/>
  <c r="C165" i="35"/>
  <c r="E165" i="35" s="1"/>
  <c r="F165" i="35" s="1"/>
  <c r="B166" i="35" s="1"/>
  <c r="C142" i="30"/>
  <c r="D142" i="30"/>
  <c r="C166" i="35" l="1"/>
  <c r="D166" i="35"/>
  <c r="E142" i="30"/>
  <c r="F142" i="30" s="1"/>
  <c r="B143" i="30" s="1"/>
  <c r="E166" i="35" l="1"/>
  <c r="F166" i="35" s="1"/>
  <c r="B167" i="35" s="1"/>
  <c r="D143" i="30"/>
  <c r="C143" i="30"/>
  <c r="E143" i="30" s="1"/>
  <c r="F143" i="30" s="1"/>
  <c r="B144" i="30" s="1"/>
  <c r="D167" i="35" l="1"/>
  <c r="C167" i="35"/>
  <c r="E167" i="35" s="1"/>
  <c r="F167" i="35" s="1"/>
  <c r="B168" i="35" s="1"/>
  <c r="D144" i="30"/>
  <c r="C144" i="30"/>
  <c r="E144" i="30" s="1"/>
  <c r="F144" i="30" s="1"/>
  <c r="B145" i="30" s="1"/>
  <c r="D168" i="35" l="1"/>
  <c r="C168" i="35"/>
  <c r="E168" i="35" s="1"/>
  <c r="F168" i="35" s="1"/>
  <c r="B169" i="35" s="1"/>
  <c r="D145" i="30"/>
  <c r="C145" i="30"/>
  <c r="E145" i="30" s="1"/>
  <c r="F145" i="30" s="1"/>
  <c r="B146" i="30" s="1"/>
  <c r="D169" i="35" l="1"/>
  <c r="C169" i="35"/>
  <c r="E169" i="35" s="1"/>
  <c r="F169" i="35" s="1"/>
  <c r="B170" i="35" s="1"/>
  <c r="D146" i="30"/>
  <c r="C146" i="30"/>
  <c r="E146" i="30" s="1"/>
  <c r="F146" i="30" s="1"/>
  <c r="B147" i="30" s="1"/>
  <c r="C170" i="35" l="1"/>
  <c r="D170" i="35"/>
  <c r="D147" i="30"/>
  <c r="C147" i="30"/>
  <c r="E147" i="30" s="1"/>
  <c r="F147" i="30" s="1"/>
  <c r="B148" i="30" s="1"/>
  <c r="E170" i="35" l="1"/>
  <c r="F170" i="35" s="1"/>
  <c r="B171" i="35" s="1"/>
  <c r="D148" i="30"/>
  <c r="C148" i="30"/>
  <c r="E148" i="30" s="1"/>
  <c r="F148" i="30" s="1"/>
  <c r="B149" i="30" s="1"/>
  <c r="D171" i="35" l="1"/>
  <c r="C171" i="35"/>
  <c r="E171" i="35" s="1"/>
  <c r="F171" i="35" s="1"/>
  <c r="B172" i="35" s="1"/>
  <c r="D149" i="30"/>
  <c r="C149" i="30"/>
  <c r="E149" i="30" s="1"/>
  <c r="F149" i="30" s="1"/>
  <c r="B150" i="30" s="1"/>
  <c r="D172" i="35" l="1"/>
  <c r="C172" i="35"/>
  <c r="E172" i="35" s="1"/>
  <c r="F172" i="35" s="1"/>
  <c r="B173" i="35" s="1"/>
  <c r="C150" i="30"/>
  <c r="D150" i="30"/>
  <c r="D173" i="35" l="1"/>
  <c r="C173" i="35"/>
  <c r="E173" i="35" s="1"/>
  <c r="F173" i="35" s="1"/>
  <c r="B174" i="35" s="1"/>
  <c r="E150" i="30"/>
  <c r="F150" i="30" s="1"/>
  <c r="B151" i="30" s="1"/>
  <c r="C174" i="35" l="1"/>
  <c r="D174" i="35"/>
  <c r="C151" i="30"/>
  <c r="D151" i="30"/>
  <c r="E174" i="35" l="1"/>
  <c r="F174" i="35" s="1"/>
  <c r="B175" i="35" s="1"/>
  <c r="E151" i="30"/>
  <c r="F151" i="30" s="1"/>
  <c r="B152" i="30" s="1"/>
  <c r="D175" i="35" l="1"/>
  <c r="C175" i="35"/>
  <c r="E175" i="35" s="1"/>
  <c r="F175" i="35" s="1"/>
  <c r="B176" i="35" s="1"/>
  <c r="D152" i="30"/>
  <c r="C152" i="30"/>
  <c r="E152" i="30" s="1"/>
  <c r="F152" i="30" s="1"/>
  <c r="B153" i="30" s="1"/>
  <c r="D176" i="35" l="1"/>
  <c r="C176" i="35"/>
  <c r="E176" i="35" s="1"/>
  <c r="F176" i="35" s="1"/>
  <c r="B177" i="35" s="1"/>
  <c r="D153" i="30"/>
  <c r="C153" i="30"/>
  <c r="E153" i="30" s="1"/>
  <c r="F153" i="30" s="1"/>
  <c r="B154" i="30" s="1"/>
  <c r="D177" i="35" l="1"/>
  <c r="C177" i="35"/>
  <c r="E177" i="35" s="1"/>
  <c r="F177" i="35" s="1"/>
  <c r="B178" i="35" s="1"/>
  <c r="D154" i="30"/>
  <c r="C154" i="30"/>
  <c r="E154" i="30" s="1"/>
  <c r="F154" i="30" s="1"/>
  <c r="B155" i="30" s="1"/>
  <c r="C178" i="35" l="1"/>
  <c r="D178" i="35"/>
  <c r="D155" i="30"/>
  <c r="C155" i="30"/>
  <c r="E155" i="30" s="1"/>
  <c r="F155" i="30" s="1"/>
  <c r="B156" i="30" s="1"/>
  <c r="E178" i="35" l="1"/>
  <c r="F178" i="35" s="1"/>
  <c r="B179" i="35" s="1"/>
  <c r="D156" i="30"/>
  <c r="C156" i="30"/>
  <c r="E156" i="30" s="1"/>
  <c r="F156" i="30" s="1"/>
  <c r="B157" i="30" s="1"/>
  <c r="D179" i="35" l="1"/>
  <c r="C179" i="35"/>
  <c r="E179" i="35" s="1"/>
  <c r="F179" i="35" s="1"/>
  <c r="B180" i="35" s="1"/>
  <c r="D157" i="30"/>
  <c r="C157" i="30"/>
  <c r="E157" i="30" s="1"/>
  <c r="F157" i="30" s="1"/>
  <c r="B158" i="30" s="1"/>
  <c r="D180" i="35" l="1"/>
  <c r="C180" i="35"/>
  <c r="E180" i="35" s="1"/>
  <c r="F180" i="35" s="1"/>
  <c r="B181" i="35" s="1"/>
  <c r="D158" i="30"/>
  <c r="C158" i="30"/>
  <c r="E158" i="30" s="1"/>
  <c r="F158" i="30" s="1"/>
  <c r="B159" i="30" s="1"/>
  <c r="D181" i="35" l="1"/>
  <c r="C181" i="35"/>
  <c r="E181" i="35" s="1"/>
  <c r="F181" i="35" s="1"/>
  <c r="B182" i="35" s="1"/>
  <c r="D159" i="30"/>
  <c r="C159" i="30"/>
  <c r="E159" i="30" s="1"/>
  <c r="F159" i="30" s="1"/>
  <c r="B160" i="30" s="1"/>
  <c r="C182" i="35" l="1"/>
  <c r="E182" i="35" s="1"/>
  <c r="F182" i="35" s="1"/>
  <c r="B183" i="35" s="1"/>
  <c r="D182" i="35"/>
  <c r="D160" i="30"/>
  <c r="C160" i="30"/>
  <c r="E160" i="30" s="1"/>
  <c r="F160" i="30" s="1"/>
  <c r="B161" i="30" s="1"/>
  <c r="D183" i="35" l="1"/>
  <c r="C183" i="35"/>
  <c r="E183" i="35" s="1"/>
  <c r="F183" i="35" s="1"/>
  <c r="B184" i="35" s="1"/>
  <c r="D161" i="30"/>
  <c r="C161" i="30"/>
  <c r="E161" i="30" s="1"/>
  <c r="F161" i="30" s="1"/>
  <c r="B162" i="30" s="1"/>
  <c r="D184" i="35" l="1"/>
  <c r="C184" i="35"/>
  <c r="E184" i="35" s="1"/>
  <c r="F184" i="35" s="1"/>
  <c r="B185" i="35" s="1"/>
  <c r="C162" i="30"/>
  <c r="D162" i="30"/>
  <c r="D185" i="35" l="1"/>
  <c r="C185" i="35"/>
  <c r="E185" i="35" s="1"/>
  <c r="F185" i="35" s="1"/>
  <c r="B186" i="35" s="1"/>
  <c r="E162" i="30"/>
  <c r="F162" i="30" s="1"/>
  <c r="B163" i="30" s="1"/>
  <c r="C186" i="35" l="1"/>
  <c r="D186" i="35"/>
  <c r="D163" i="30"/>
  <c r="C163" i="30"/>
  <c r="E163" i="30" s="1"/>
  <c r="F163" i="30" s="1"/>
  <c r="B164" i="30" s="1"/>
  <c r="E186" i="35" l="1"/>
  <c r="F186" i="35" s="1"/>
  <c r="B187" i="35" s="1"/>
  <c r="D164" i="30"/>
  <c r="C164" i="30"/>
  <c r="E164" i="30" s="1"/>
  <c r="F164" i="30" s="1"/>
  <c r="B165" i="30" s="1"/>
  <c r="D187" i="35" l="1"/>
  <c r="C187" i="35"/>
  <c r="E187" i="35" s="1"/>
  <c r="F187" i="35" s="1"/>
  <c r="B188" i="35" s="1"/>
  <c r="D165" i="30"/>
  <c r="C165" i="30"/>
  <c r="E165" i="30" s="1"/>
  <c r="F165" i="30" s="1"/>
  <c r="B166" i="30" s="1"/>
  <c r="D188" i="35" l="1"/>
  <c r="C188" i="35"/>
  <c r="E188" i="35" s="1"/>
  <c r="F188" i="35" s="1"/>
  <c r="B189" i="35" s="1"/>
  <c r="D166" i="30"/>
  <c r="C166" i="30"/>
  <c r="E166" i="30" s="1"/>
  <c r="F166" i="30" s="1"/>
  <c r="B167" i="30" s="1"/>
  <c r="D189" i="35" l="1"/>
  <c r="C189" i="35"/>
  <c r="E189" i="35" s="1"/>
  <c r="F189" i="35" s="1"/>
  <c r="B190" i="35" s="1"/>
  <c r="D167" i="30"/>
  <c r="C167" i="30"/>
  <c r="E167" i="30" s="1"/>
  <c r="F167" i="30" s="1"/>
  <c r="B168" i="30" s="1"/>
  <c r="C190" i="35" l="1"/>
  <c r="D190" i="35"/>
  <c r="D168" i="30"/>
  <c r="C168" i="30"/>
  <c r="E168" i="30" s="1"/>
  <c r="F168" i="30" s="1"/>
  <c r="B169" i="30" s="1"/>
  <c r="E190" i="35" l="1"/>
  <c r="F190" i="35" s="1"/>
  <c r="B191" i="35" s="1"/>
  <c r="D169" i="30"/>
  <c r="C169" i="30"/>
  <c r="E169" i="30" s="1"/>
  <c r="F169" i="30" s="1"/>
  <c r="B170" i="30" s="1"/>
  <c r="D191" i="35" l="1"/>
  <c r="C191" i="35"/>
  <c r="E191" i="35" s="1"/>
  <c r="F191" i="35" s="1"/>
  <c r="B192" i="35" s="1"/>
  <c r="D170" i="30"/>
  <c r="C170" i="30"/>
  <c r="E170" i="30" s="1"/>
  <c r="F170" i="30" s="1"/>
  <c r="B171" i="30" s="1"/>
  <c r="D192" i="35" l="1"/>
  <c r="C192" i="35"/>
  <c r="E192" i="35" s="1"/>
  <c r="F192" i="35" s="1"/>
  <c r="B193" i="35" s="1"/>
  <c r="D171" i="30"/>
  <c r="C171" i="30"/>
  <c r="E171" i="30" s="1"/>
  <c r="F171" i="30" s="1"/>
  <c r="B172" i="30" s="1"/>
  <c r="D193" i="35" l="1"/>
  <c r="C193" i="35"/>
  <c r="E193" i="35" s="1"/>
  <c r="F193" i="35" s="1"/>
  <c r="B194" i="35" s="1"/>
  <c r="D172" i="30"/>
  <c r="C172" i="30"/>
  <c r="E172" i="30" s="1"/>
  <c r="F172" i="30" s="1"/>
  <c r="B173" i="30" s="1"/>
  <c r="C194" i="35" l="1"/>
  <c r="D194" i="35"/>
  <c r="D173" i="30"/>
  <c r="C173" i="30"/>
  <c r="E173" i="30" s="1"/>
  <c r="F173" i="30" s="1"/>
  <c r="B174" i="30" s="1"/>
  <c r="E194" i="35" l="1"/>
  <c r="F194" i="35" s="1"/>
  <c r="B195" i="35" s="1"/>
  <c r="D174" i="30"/>
  <c r="C174" i="30"/>
  <c r="E174" i="30" s="1"/>
  <c r="F174" i="30" s="1"/>
  <c r="B175" i="30" s="1"/>
  <c r="D195" i="35" l="1"/>
  <c r="C195" i="35"/>
  <c r="E195" i="35" s="1"/>
  <c r="F195" i="35" s="1"/>
  <c r="B196" i="35" s="1"/>
  <c r="D175" i="30"/>
  <c r="C175" i="30"/>
  <c r="E175" i="30" s="1"/>
  <c r="F175" i="30" s="1"/>
  <c r="B176" i="30" s="1"/>
  <c r="D196" i="35" l="1"/>
  <c r="C196" i="35"/>
  <c r="E196" i="35" s="1"/>
  <c r="F196" i="35" s="1"/>
  <c r="B197" i="35" s="1"/>
  <c r="D176" i="30"/>
  <c r="C176" i="30"/>
  <c r="E176" i="30" s="1"/>
  <c r="F176" i="30" s="1"/>
  <c r="B177" i="30" s="1"/>
  <c r="D197" i="35" l="1"/>
  <c r="C197" i="35"/>
  <c r="E197" i="35" s="1"/>
  <c r="F197" i="35" s="1"/>
  <c r="B198" i="35" s="1"/>
  <c r="D177" i="30"/>
  <c r="C177" i="30"/>
  <c r="E177" i="30" s="1"/>
  <c r="F177" i="30" s="1"/>
  <c r="B178" i="30" s="1"/>
  <c r="C198" i="35" l="1"/>
  <c r="D198" i="35"/>
  <c r="C178" i="30"/>
  <c r="D178" i="30"/>
  <c r="E198" i="35" l="1"/>
  <c r="F198" i="35" s="1"/>
  <c r="B199" i="35" s="1"/>
  <c r="E178" i="30"/>
  <c r="F178" i="30" s="1"/>
  <c r="B179" i="30" s="1"/>
  <c r="D199" i="35" l="1"/>
  <c r="C199" i="35"/>
  <c r="E199" i="35" s="1"/>
  <c r="F199" i="35" s="1"/>
  <c r="B200" i="35" s="1"/>
  <c r="D179" i="30"/>
  <c r="C179" i="30"/>
  <c r="E179" i="30" s="1"/>
  <c r="F179" i="30" s="1"/>
  <c r="B180" i="30" s="1"/>
  <c r="D200" i="35" l="1"/>
  <c r="C200" i="35"/>
  <c r="E200" i="35" s="1"/>
  <c r="F200" i="35" s="1"/>
  <c r="B201" i="35" s="1"/>
  <c r="D180" i="30"/>
  <c r="C180" i="30"/>
  <c r="E180" i="30" s="1"/>
  <c r="F180" i="30" s="1"/>
  <c r="B181" i="30" s="1"/>
  <c r="D201" i="35" l="1"/>
  <c r="C201" i="35"/>
  <c r="E201" i="35" s="1"/>
  <c r="F201" i="35" s="1"/>
  <c r="B202" i="35" s="1"/>
  <c r="D181" i="30"/>
  <c r="C181" i="30"/>
  <c r="E181" i="30" s="1"/>
  <c r="F181" i="30" s="1"/>
  <c r="B182" i="30" s="1"/>
  <c r="C202" i="35" l="1"/>
  <c r="D202" i="35"/>
  <c r="D182" i="30"/>
  <c r="C182" i="30"/>
  <c r="E182" i="30" s="1"/>
  <c r="F182" i="30" s="1"/>
  <c r="B183" i="30" s="1"/>
  <c r="E202" i="35" l="1"/>
  <c r="F202" i="35" s="1"/>
  <c r="B203" i="35" s="1"/>
  <c r="D183" i="30"/>
  <c r="C183" i="30"/>
  <c r="E183" i="30" s="1"/>
  <c r="F183" i="30" s="1"/>
  <c r="B184" i="30" s="1"/>
  <c r="D203" i="35" l="1"/>
  <c r="C203" i="35"/>
  <c r="E203" i="35" s="1"/>
  <c r="F203" i="35" s="1"/>
  <c r="B204" i="35" s="1"/>
  <c r="D184" i="30"/>
  <c r="C184" i="30"/>
  <c r="E184" i="30" s="1"/>
  <c r="F184" i="30" s="1"/>
  <c r="B185" i="30" s="1"/>
  <c r="C204" i="35" l="1"/>
  <c r="D204" i="35"/>
  <c r="D185" i="30"/>
  <c r="C185" i="30"/>
  <c r="E185" i="30" s="1"/>
  <c r="F185" i="30" s="1"/>
  <c r="B186" i="30" s="1"/>
  <c r="E204" i="35" l="1"/>
  <c r="F204" i="35" s="1"/>
  <c r="B205" i="35" s="1"/>
  <c r="D186" i="30"/>
  <c r="C186" i="30"/>
  <c r="E186" i="30" s="1"/>
  <c r="F186" i="30" s="1"/>
  <c r="B187" i="30" s="1"/>
  <c r="C205" i="35" l="1"/>
  <c r="D205" i="35"/>
  <c r="D187" i="30"/>
  <c r="C187" i="30"/>
  <c r="E187" i="30" l="1"/>
  <c r="F187" i="30" s="1"/>
  <c r="B188" i="30" s="1"/>
  <c r="E205" i="35"/>
  <c r="F205" i="35" s="1"/>
  <c r="B206" i="35" s="1"/>
  <c r="D188" i="30"/>
  <c r="C188" i="30"/>
  <c r="E188" i="30" s="1"/>
  <c r="F188" i="30" s="1"/>
  <c r="B189" i="30" s="1"/>
  <c r="D206" i="35" l="1"/>
  <c r="C206" i="35"/>
  <c r="E206" i="35" s="1"/>
  <c r="F206" i="35" s="1"/>
  <c r="B207" i="35" s="1"/>
  <c r="D189" i="30"/>
  <c r="C189" i="30"/>
  <c r="E189" i="30" s="1"/>
  <c r="F189" i="30" s="1"/>
  <c r="B190" i="30" s="1"/>
  <c r="D207" i="35" l="1"/>
  <c r="C207" i="35"/>
  <c r="E207" i="35" s="1"/>
  <c r="F207" i="35" s="1"/>
  <c r="B208" i="35" s="1"/>
  <c r="D190" i="30"/>
  <c r="C190" i="30"/>
  <c r="E190" i="30" s="1"/>
  <c r="F190" i="30" s="1"/>
  <c r="B191" i="30" s="1"/>
  <c r="C208" i="35" l="1"/>
  <c r="E208" i="35" s="1"/>
  <c r="F208" i="35" s="1"/>
  <c r="B209" i="35" s="1"/>
  <c r="D208" i="35"/>
  <c r="D191" i="30"/>
  <c r="C191" i="30"/>
  <c r="E191" i="30" s="1"/>
  <c r="F191" i="30" s="1"/>
  <c r="B192" i="30" s="1"/>
  <c r="D209" i="35" l="1"/>
  <c r="C209" i="35"/>
  <c r="E209" i="35" s="1"/>
  <c r="F209" i="35" s="1"/>
  <c r="B210" i="35" s="1"/>
  <c r="D192" i="30"/>
  <c r="C192" i="30"/>
  <c r="E192" i="30" s="1"/>
  <c r="F192" i="30" s="1"/>
  <c r="B193" i="30" s="1"/>
  <c r="D210" i="35" l="1"/>
  <c r="C210" i="35"/>
  <c r="E210" i="35" s="1"/>
  <c r="F210" i="35" s="1"/>
  <c r="B211" i="35" s="1"/>
  <c r="D193" i="30"/>
  <c r="C193" i="30"/>
  <c r="E193" i="30" s="1"/>
  <c r="F193" i="30" s="1"/>
  <c r="B194" i="30" s="1"/>
  <c r="D211" i="35" l="1"/>
  <c r="C211" i="35"/>
  <c r="E211" i="35" s="1"/>
  <c r="F211" i="35" s="1"/>
  <c r="B212" i="35" s="1"/>
  <c r="D194" i="30"/>
  <c r="C194" i="30"/>
  <c r="E194" i="30" s="1"/>
  <c r="F194" i="30" s="1"/>
  <c r="B195" i="30" s="1"/>
  <c r="D212" i="35" l="1"/>
  <c r="C212" i="35"/>
  <c r="E212" i="35" s="1"/>
  <c r="F212" i="35" s="1"/>
  <c r="B213" i="35" s="1"/>
  <c r="C195" i="30"/>
  <c r="D195" i="30"/>
  <c r="D213" i="35" l="1"/>
  <c r="C213" i="35"/>
  <c r="E213" i="35" s="1"/>
  <c r="F213" i="35" s="1"/>
  <c r="B214" i="35" s="1"/>
  <c r="E195" i="30"/>
  <c r="F195" i="30" s="1"/>
  <c r="B196" i="30" s="1"/>
  <c r="D214" i="35" l="1"/>
  <c r="C214" i="35"/>
  <c r="E214" i="35" s="1"/>
  <c r="F214" i="35" s="1"/>
  <c r="B215" i="35" s="1"/>
  <c r="D196" i="30"/>
  <c r="C196" i="30"/>
  <c r="E196" i="30" s="1"/>
  <c r="F196" i="30" s="1"/>
  <c r="B197" i="30" s="1"/>
  <c r="D215" i="35" l="1"/>
  <c r="C215" i="35"/>
  <c r="E215" i="35" s="1"/>
  <c r="F215" i="35" s="1"/>
  <c r="B216" i="35" s="1"/>
  <c r="D197" i="30"/>
  <c r="C197" i="30"/>
  <c r="E197" i="30" s="1"/>
  <c r="F197" i="30" s="1"/>
  <c r="B198" i="30" s="1"/>
  <c r="D216" i="35" l="1"/>
  <c r="C216" i="35"/>
  <c r="E216" i="35" s="1"/>
  <c r="F216" i="35" s="1"/>
  <c r="B217" i="35" s="1"/>
  <c r="C198" i="30"/>
  <c r="D198" i="30"/>
  <c r="D217" i="35" l="1"/>
  <c r="C217" i="35"/>
  <c r="E217" i="35" s="1"/>
  <c r="F217" i="35" s="1"/>
  <c r="B218" i="35" s="1"/>
  <c r="E198" i="30"/>
  <c r="F198" i="30" s="1"/>
  <c r="B199" i="30" s="1"/>
  <c r="D218" i="35" l="1"/>
  <c r="C218" i="35"/>
  <c r="E218" i="35" s="1"/>
  <c r="F218" i="35" s="1"/>
  <c r="B219" i="35" s="1"/>
  <c r="D199" i="30"/>
  <c r="C199" i="30"/>
  <c r="E199" i="30" s="1"/>
  <c r="F199" i="30" s="1"/>
  <c r="B200" i="30" s="1"/>
  <c r="D219" i="35" l="1"/>
  <c r="C219" i="35"/>
  <c r="E219" i="35" s="1"/>
  <c r="F219" i="35" s="1"/>
  <c r="B220" i="35" s="1"/>
  <c r="D200" i="30"/>
  <c r="C200" i="30"/>
  <c r="E200" i="30" s="1"/>
  <c r="F200" i="30" s="1"/>
  <c r="B201" i="30" s="1"/>
  <c r="D220" i="35" l="1"/>
  <c r="C220" i="35"/>
  <c r="E220" i="35" s="1"/>
  <c r="F220" i="35" s="1"/>
  <c r="B221" i="35" s="1"/>
  <c r="D201" i="30"/>
  <c r="C201" i="30"/>
  <c r="E201" i="30" s="1"/>
  <c r="F201" i="30" s="1"/>
  <c r="B202" i="30" s="1"/>
  <c r="C221" i="35" l="1"/>
  <c r="D221" i="35"/>
  <c r="D202" i="30"/>
  <c r="C202" i="30"/>
  <c r="E202" i="30" s="1"/>
  <c r="F202" i="30" s="1"/>
  <c r="B203" i="30" s="1"/>
  <c r="E221" i="35" l="1"/>
  <c r="F221" i="35" s="1"/>
  <c r="B222" i="35" s="1"/>
  <c r="D222" i="35" s="1"/>
  <c r="C222" i="35"/>
  <c r="D203" i="30"/>
  <c r="C203" i="30"/>
  <c r="E203" i="30" s="1"/>
  <c r="F203" i="30" s="1"/>
  <c r="B204" i="30" s="1"/>
  <c r="E222" i="35" l="1"/>
  <c r="F222" i="35" s="1"/>
  <c r="B223" i="35" s="1"/>
  <c r="D223" i="35" s="1"/>
  <c r="C223" i="35"/>
  <c r="D204" i="30"/>
  <c r="C204" i="30"/>
  <c r="E204" i="30" s="1"/>
  <c r="F204" i="30" s="1"/>
  <c r="B205" i="30" s="1"/>
  <c r="E223" i="35" l="1"/>
  <c r="F223" i="35" s="1"/>
  <c r="B224" i="35" s="1"/>
  <c r="D224" i="35"/>
  <c r="C224" i="35"/>
  <c r="E224" i="35" s="1"/>
  <c r="F224" i="35" s="1"/>
  <c r="B225" i="35" s="1"/>
  <c r="D205" i="30"/>
  <c r="C205" i="30"/>
  <c r="E205" i="30" s="1"/>
  <c r="F205" i="30" s="1"/>
  <c r="B206" i="30" s="1"/>
  <c r="D225" i="35" l="1"/>
  <c r="C225" i="35"/>
  <c r="E225" i="35" s="1"/>
  <c r="F225" i="35" s="1"/>
  <c r="B226" i="35" s="1"/>
  <c r="D206" i="30"/>
  <c r="C206" i="30"/>
  <c r="E206" i="30" s="1"/>
  <c r="F206" i="30" s="1"/>
  <c r="B207" i="30" s="1"/>
  <c r="D226" i="35" l="1"/>
  <c r="C226" i="35"/>
  <c r="E226" i="35" s="1"/>
  <c r="F226" i="35" s="1"/>
  <c r="B227" i="35" s="1"/>
  <c r="D207" i="30"/>
  <c r="C207" i="30"/>
  <c r="E207" i="30" s="1"/>
  <c r="F207" i="30" s="1"/>
  <c r="B208" i="30" s="1"/>
  <c r="D227" i="35" l="1"/>
  <c r="C227" i="35"/>
  <c r="E227" i="35" s="1"/>
  <c r="F227" i="35" s="1"/>
  <c r="B228" i="35" s="1"/>
  <c r="D208" i="30"/>
  <c r="C208" i="30"/>
  <c r="E208" i="30" s="1"/>
  <c r="F208" i="30" s="1"/>
  <c r="B209" i="30" s="1"/>
  <c r="D228" i="35" l="1"/>
  <c r="C228" i="35"/>
  <c r="E228" i="35" s="1"/>
  <c r="F228" i="35" s="1"/>
  <c r="B229" i="35" s="1"/>
  <c r="D209" i="30"/>
  <c r="C209" i="30"/>
  <c r="E209" i="30" s="1"/>
  <c r="F209" i="30" s="1"/>
  <c r="B210" i="30" s="1"/>
  <c r="D229" i="35" l="1"/>
  <c r="C229" i="35"/>
  <c r="E229" i="35" s="1"/>
  <c r="F229" i="35" s="1"/>
  <c r="B230" i="35" s="1"/>
  <c r="C210" i="30"/>
  <c r="D210" i="30"/>
  <c r="D230" i="35" l="1"/>
  <c r="C230" i="35"/>
  <c r="E230" i="35" s="1"/>
  <c r="F230" i="35"/>
  <c r="B231" i="35" s="1"/>
  <c r="E210" i="30"/>
  <c r="F210" i="30" s="1"/>
  <c r="B211" i="30" s="1"/>
  <c r="D231" i="35" l="1"/>
  <c r="C231" i="35"/>
  <c r="E231" i="35" s="1"/>
  <c r="F231" i="35" s="1"/>
  <c r="B232" i="35" s="1"/>
  <c r="D211" i="30"/>
  <c r="C211" i="30"/>
  <c r="E211" i="30" s="1"/>
  <c r="F211" i="30" s="1"/>
  <c r="B212" i="30" s="1"/>
  <c r="D232" i="35" l="1"/>
  <c r="C232" i="35"/>
  <c r="E232" i="35" s="1"/>
  <c r="F232" i="35" s="1"/>
  <c r="B233" i="35" s="1"/>
  <c r="D212" i="30"/>
  <c r="C212" i="30"/>
  <c r="E212" i="30" s="1"/>
  <c r="F212" i="30" s="1"/>
  <c r="B213" i="30" s="1"/>
  <c r="D233" i="35" l="1"/>
  <c r="C233" i="35"/>
  <c r="E233" i="35" s="1"/>
  <c r="F233" i="35" s="1"/>
  <c r="B234" i="35" s="1"/>
  <c r="D213" i="30"/>
  <c r="C213" i="30"/>
  <c r="E213" i="30" s="1"/>
  <c r="F213" i="30" s="1"/>
  <c r="B214" i="30" s="1"/>
  <c r="D234" i="35" l="1"/>
  <c r="C234" i="35"/>
  <c r="D214" i="30"/>
  <c r="C214" i="30"/>
  <c r="E214" i="30" s="1"/>
  <c r="F214" i="30" s="1"/>
  <c r="B215" i="30" s="1"/>
  <c r="E234" i="35" l="1"/>
  <c r="F234" i="35" s="1"/>
  <c r="B235" i="35" s="1"/>
  <c r="D215" i="30"/>
  <c r="C215" i="30"/>
  <c r="E215" i="30" s="1"/>
  <c r="F215" i="30" s="1"/>
  <c r="B216" i="30" s="1"/>
  <c r="D235" i="35" l="1"/>
  <c r="C235" i="35"/>
  <c r="E235" i="35" s="1"/>
  <c r="F235" i="35" s="1"/>
  <c r="B236" i="35" s="1"/>
  <c r="D216" i="30"/>
  <c r="C216" i="30"/>
  <c r="E216" i="30" s="1"/>
  <c r="F216" i="30" s="1"/>
  <c r="B217" i="30" s="1"/>
  <c r="D236" i="35" l="1"/>
  <c r="C236" i="35"/>
  <c r="E236" i="35" s="1"/>
  <c r="F236" i="35" s="1"/>
  <c r="B237" i="35" s="1"/>
  <c r="D217" i="30"/>
  <c r="C217" i="30"/>
  <c r="E217" i="30" s="1"/>
  <c r="F217" i="30" s="1"/>
  <c r="B218" i="30" s="1"/>
  <c r="C237" i="35" l="1"/>
  <c r="D237" i="35"/>
  <c r="D218" i="30"/>
  <c r="C218" i="30"/>
  <c r="E218" i="30" l="1"/>
  <c r="F218" i="30" s="1"/>
  <c r="B219" i="30" s="1"/>
  <c r="D219" i="30" s="1"/>
  <c r="E237" i="35"/>
  <c r="F237" i="35" s="1"/>
  <c r="B238" i="35" s="1"/>
  <c r="C219" i="30" l="1"/>
  <c r="E219" i="30" s="1"/>
  <c r="F219" i="30" s="1"/>
  <c r="B220" i="30" s="1"/>
  <c r="D220" i="30" s="1"/>
  <c r="D238" i="35"/>
  <c r="C238" i="35"/>
  <c r="C220" i="30" l="1"/>
  <c r="E220" i="30" s="1"/>
  <c r="F220" i="30" s="1"/>
  <c r="B221" i="30" s="1"/>
  <c r="D221" i="30" s="1"/>
  <c r="E238" i="35"/>
  <c r="F238" i="35" s="1"/>
  <c r="B239" i="35" s="1"/>
  <c r="C221" i="30"/>
  <c r="E221" i="30" l="1"/>
  <c r="F221" i="30" s="1"/>
  <c r="B222" i="30" s="1"/>
  <c r="D239" i="35"/>
  <c r="C239" i="35"/>
  <c r="E239" i="35" s="1"/>
  <c r="F239" i="35" s="1"/>
  <c r="B240" i="35" s="1"/>
  <c r="D222" i="30"/>
  <c r="C222" i="30"/>
  <c r="E222" i="30" s="1"/>
  <c r="F222" i="30" s="1"/>
  <c r="B223" i="30" s="1"/>
  <c r="D240" i="35" l="1"/>
  <c r="C240" i="35"/>
  <c r="E240" i="35" s="1"/>
  <c r="F240" i="35" s="1"/>
  <c r="B241" i="35" s="1"/>
  <c r="D223" i="30"/>
  <c r="C223" i="30"/>
  <c r="E223" i="30" s="1"/>
  <c r="F223" i="30" s="1"/>
  <c r="B224" i="30" s="1"/>
  <c r="D241" i="35" l="1"/>
  <c r="C241" i="35"/>
  <c r="E241" i="35" s="1"/>
  <c r="F241" i="35" s="1"/>
  <c r="B242" i="35" s="1"/>
  <c r="D224" i="30"/>
  <c r="C224" i="30"/>
  <c r="E224" i="30" s="1"/>
  <c r="F224" i="30" s="1"/>
  <c r="B225" i="30" s="1"/>
  <c r="D242" i="35" l="1"/>
  <c r="C242" i="35"/>
  <c r="E242" i="35" s="1"/>
  <c r="F242" i="35" s="1"/>
  <c r="B243" i="35" s="1"/>
  <c r="D225" i="30"/>
  <c r="C225" i="30"/>
  <c r="E225" i="30" s="1"/>
  <c r="F225" i="30" s="1"/>
  <c r="B226" i="30" s="1"/>
  <c r="D243" i="35" l="1"/>
  <c r="C243" i="35"/>
  <c r="E243" i="35" s="1"/>
  <c r="F243" i="35" s="1"/>
  <c r="B244" i="35" s="1"/>
  <c r="D226" i="30"/>
  <c r="C226" i="30"/>
  <c r="E226" i="30" s="1"/>
  <c r="F226" i="30" s="1"/>
  <c r="B227" i="30" s="1"/>
  <c r="D244" i="35" l="1"/>
  <c r="C244" i="35"/>
  <c r="E244" i="35" s="1"/>
  <c r="F244" i="35" s="1"/>
  <c r="B245" i="35" s="1"/>
  <c r="D227" i="30"/>
  <c r="C227" i="30"/>
  <c r="E227" i="30" l="1"/>
  <c r="F227" i="30" s="1"/>
  <c r="B228" i="30" s="1"/>
  <c r="D245" i="35"/>
  <c r="C245" i="35"/>
  <c r="E245" i="35" s="1"/>
  <c r="F245" i="35" s="1"/>
  <c r="B246" i="35" s="1"/>
  <c r="D228" i="30"/>
  <c r="C228" i="30"/>
  <c r="E228" i="30" s="1"/>
  <c r="F228" i="30" s="1"/>
  <c r="B229" i="30" s="1"/>
  <c r="D246" i="35" l="1"/>
  <c r="C246" i="35"/>
  <c r="E246" i="35" s="1"/>
  <c r="F246" i="35" s="1"/>
  <c r="B247" i="35" s="1"/>
  <c r="D229" i="30"/>
  <c r="C229" i="30"/>
  <c r="E229" i="30" s="1"/>
  <c r="F229" i="30" s="1"/>
  <c r="B230" i="30" s="1"/>
  <c r="D247" i="35" l="1"/>
  <c r="C247" i="35"/>
  <c r="E247" i="35" s="1"/>
  <c r="F247" i="35" s="1"/>
  <c r="B248" i="35" s="1"/>
  <c r="C230" i="30"/>
  <c r="D230" i="30"/>
  <c r="D248" i="35" l="1"/>
  <c r="C248" i="35"/>
  <c r="E248" i="35" s="1"/>
  <c r="F248" i="35" s="1"/>
  <c r="B249" i="35" s="1"/>
  <c r="E230" i="30"/>
  <c r="F230" i="30" s="1"/>
  <c r="B231" i="30" s="1"/>
  <c r="D249" i="35" l="1"/>
  <c r="C249" i="35"/>
  <c r="E249" i="35" s="1"/>
  <c r="F249" i="35" s="1"/>
  <c r="B250" i="35" s="1"/>
  <c r="D231" i="30"/>
  <c r="C231" i="30"/>
  <c r="E231" i="30" s="1"/>
  <c r="F231" i="30" s="1"/>
  <c r="B232" i="30" s="1"/>
  <c r="D250" i="35" l="1"/>
  <c r="C250" i="35"/>
  <c r="E250" i="35" s="1"/>
  <c r="F250" i="35" s="1"/>
  <c r="B251" i="35" s="1"/>
  <c r="D232" i="30"/>
  <c r="C232" i="30"/>
  <c r="E232" i="30" s="1"/>
  <c r="F232" i="30" s="1"/>
  <c r="B233" i="30" s="1"/>
  <c r="D251" i="35" l="1"/>
  <c r="C251" i="35"/>
  <c r="E251" i="35" s="1"/>
  <c r="F251" i="35" s="1"/>
  <c r="B252" i="35" s="1"/>
  <c r="D233" i="30"/>
  <c r="C233" i="30"/>
  <c r="E233" i="30" s="1"/>
  <c r="F233" i="30" s="1"/>
  <c r="B234" i="30" s="1"/>
  <c r="D252" i="35" l="1"/>
  <c r="C252" i="35"/>
  <c r="E252" i="35" s="1"/>
  <c r="F252" i="35" s="1"/>
  <c r="B253" i="35" s="1"/>
  <c r="D234" i="30"/>
  <c r="C234" i="30"/>
  <c r="E234" i="30" s="1"/>
  <c r="F234" i="30" s="1"/>
  <c r="B235" i="30" s="1"/>
  <c r="C253" i="35" l="1"/>
  <c r="D253" i="35"/>
  <c r="D235" i="30"/>
  <c r="C235" i="30"/>
  <c r="E235" i="30" s="1"/>
  <c r="F235" i="30" s="1"/>
  <c r="B236" i="30" s="1"/>
  <c r="E253" i="35" l="1"/>
  <c r="F253" i="35" s="1"/>
  <c r="B254" i="35" s="1"/>
  <c r="D236" i="30"/>
  <c r="C236" i="30"/>
  <c r="E236" i="30" s="1"/>
  <c r="F236" i="30" s="1"/>
  <c r="B237" i="30" s="1"/>
  <c r="D254" i="35" l="1"/>
  <c r="C254" i="35"/>
  <c r="E254" i="35" s="1"/>
  <c r="F254" i="35" s="1"/>
  <c r="B255" i="35" s="1"/>
  <c r="D237" i="30"/>
  <c r="C237" i="30"/>
  <c r="E237" i="30" s="1"/>
  <c r="F237" i="30" s="1"/>
  <c r="B238" i="30" s="1"/>
  <c r="D255" i="35" l="1"/>
  <c r="C255" i="35"/>
  <c r="E255" i="35" s="1"/>
  <c r="F255" i="35" s="1"/>
  <c r="B256" i="35" s="1"/>
  <c r="C238" i="30"/>
  <c r="D238" i="30"/>
  <c r="D256" i="35" l="1"/>
  <c r="C256" i="35"/>
  <c r="E256" i="35" s="1"/>
  <c r="F256" i="35" s="1"/>
  <c r="B257" i="35" s="1"/>
  <c r="E238" i="30"/>
  <c r="F238" i="30" s="1"/>
  <c r="B239" i="30" s="1"/>
  <c r="C257" i="35" l="1"/>
  <c r="D257" i="35"/>
  <c r="D239" i="30"/>
  <c r="C239" i="30"/>
  <c r="E239" i="30" s="1"/>
  <c r="F239" i="30" s="1"/>
  <c r="B240" i="30" s="1"/>
  <c r="E257" i="35" l="1"/>
  <c r="F257" i="35" s="1"/>
  <c r="B258" i="35" s="1"/>
  <c r="D240" i="30"/>
  <c r="C240" i="30"/>
  <c r="E240" i="30" s="1"/>
  <c r="F240" i="30" s="1"/>
  <c r="B241" i="30" s="1"/>
  <c r="D258" i="35" l="1"/>
  <c r="C258" i="35"/>
  <c r="E258" i="35" s="1"/>
  <c r="F258" i="35" s="1"/>
  <c r="B259" i="35" s="1"/>
  <c r="D241" i="30"/>
  <c r="C241" i="30"/>
  <c r="E241" i="30" s="1"/>
  <c r="F241" i="30" s="1"/>
  <c r="B242" i="30" s="1"/>
  <c r="D259" i="35" l="1"/>
  <c r="C259" i="35"/>
  <c r="C242" i="30"/>
  <c r="D242" i="30"/>
  <c r="E259" i="35" l="1"/>
  <c r="F259" i="35" s="1"/>
  <c r="B260" i="35" s="1"/>
  <c r="D260" i="35" s="1"/>
  <c r="C260" i="35"/>
  <c r="E242" i="30"/>
  <c r="F242" i="30" s="1"/>
  <c r="B243" i="30" s="1"/>
  <c r="E260" i="35" l="1"/>
  <c r="F260" i="35" s="1"/>
  <c r="B261" i="35" s="1"/>
  <c r="D261" i="35" s="1"/>
  <c r="C261" i="35"/>
  <c r="D243" i="30"/>
  <c r="C243" i="30"/>
  <c r="E243" i="30" s="1"/>
  <c r="F243" i="30" s="1"/>
  <c r="B244" i="30" s="1"/>
  <c r="E261" i="35" l="1"/>
  <c r="F261" i="35" s="1"/>
  <c r="B262" i="35" s="1"/>
  <c r="D262" i="35" s="1"/>
  <c r="C262" i="35"/>
  <c r="D244" i="30"/>
  <c r="C244" i="30"/>
  <c r="E244" i="30" s="1"/>
  <c r="F244" i="30" s="1"/>
  <c r="B245" i="30" s="1"/>
  <c r="E262" i="35" l="1"/>
  <c r="F262" i="35" s="1"/>
  <c r="B263" i="35" s="1"/>
  <c r="D263" i="35"/>
  <c r="C263" i="35"/>
  <c r="E263" i="35" s="1"/>
  <c r="F263" i="35" s="1"/>
  <c r="B264" i="35" s="1"/>
  <c r="D245" i="30"/>
  <c r="C245" i="30"/>
  <c r="E245" i="30" s="1"/>
  <c r="F245" i="30" s="1"/>
  <c r="B246" i="30" s="1"/>
  <c r="D264" i="35" l="1"/>
  <c r="C264" i="35"/>
  <c r="E264" i="35" s="1"/>
  <c r="F264" i="35" s="1"/>
  <c r="B265" i="35" s="1"/>
  <c r="C246" i="30"/>
  <c r="D246" i="30"/>
  <c r="D265" i="35" l="1"/>
  <c r="C265" i="35"/>
  <c r="E265" i="35" s="1"/>
  <c r="F265" i="35" s="1"/>
  <c r="B266" i="35" s="1"/>
  <c r="E246" i="30"/>
  <c r="F246" i="30" s="1"/>
  <c r="B247" i="30" s="1"/>
  <c r="D266" i="35" l="1"/>
  <c r="C266" i="35"/>
  <c r="E266" i="35" s="1"/>
  <c r="F266" i="35" s="1"/>
  <c r="B267" i="35" s="1"/>
  <c r="D247" i="30"/>
  <c r="C247" i="30"/>
  <c r="E247" i="30" s="1"/>
  <c r="F247" i="30" s="1"/>
  <c r="B248" i="30" s="1"/>
  <c r="D267" i="35" l="1"/>
  <c r="C267" i="35"/>
  <c r="E267" i="35" s="1"/>
  <c r="F267" i="35" s="1"/>
  <c r="B268" i="35" s="1"/>
  <c r="D248" i="30"/>
  <c r="C248" i="30"/>
  <c r="E248" i="30" s="1"/>
  <c r="F248" i="30" s="1"/>
  <c r="B249" i="30" s="1"/>
  <c r="D268" i="35" l="1"/>
  <c r="C268" i="35"/>
  <c r="D249" i="30"/>
  <c r="C249" i="30"/>
  <c r="E249" i="30" s="1"/>
  <c r="F249" i="30" s="1"/>
  <c r="B250" i="30" s="1"/>
  <c r="E268" i="35" l="1"/>
  <c r="F268" i="35" s="1"/>
  <c r="B269" i="35" s="1"/>
  <c r="C250" i="30"/>
  <c r="D250" i="30"/>
  <c r="D269" i="35" l="1"/>
  <c r="C269" i="35"/>
  <c r="E269" i="35" s="1"/>
  <c r="F269" i="35" s="1"/>
  <c r="B270" i="35" s="1"/>
  <c r="E250" i="30"/>
  <c r="F250" i="30" s="1"/>
  <c r="B251" i="30" s="1"/>
  <c r="D270" i="35" l="1"/>
  <c r="C270" i="35"/>
  <c r="E270" i="35" s="1"/>
  <c r="F270" i="35" s="1"/>
  <c r="B271" i="35" s="1"/>
  <c r="D251" i="30"/>
  <c r="C251" i="30"/>
  <c r="E251" i="30" s="1"/>
  <c r="F251" i="30" s="1"/>
  <c r="B252" i="30" s="1"/>
  <c r="D271" i="35" l="1"/>
  <c r="C271" i="35"/>
  <c r="E271" i="35" s="1"/>
  <c r="F271" i="35" s="1"/>
  <c r="B272" i="35" s="1"/>
  <c r="D252" i="30"/>
  <c r="C252" i="30"/>
  <c r="E252" i="30" s="1"/>
  <c r="F252" i="30" s="1"/>
  <c r="B253" i="30" s="1"/>
  <c r="D272" i="35" l="1"/>
  <c r="C272" i="35"/>
  <c r="D253" i="30"/>
  <c r="C253" i="30"/>
  <c r="E253" i="30" s="1"/>
  <c r="F253" i="30" s="1"/>
  <c r="B254" i="30" s="1"/>
  <c r="E272" i="35" l="1"/>
  <c r="F272" i="35" s="1"/>
  <c r="B273" i="35" s="1"/>
  <c r="D273" i="35"/>
  <c r="C273" i="35"/>
  <c r="E273" i="35" s="1"/>
  <c r="F273" i="35" s="1"/>
  <c r="B274" i="35" s="1"/>
  <c r="C254" i="30"/>
  <c r="D254" i="30"/>
  <c r="D274" i="35" l="1"/>
  <c r="C274" i="35"/>
  <c r="E274" i="35" s="1"/>
  <c r="F274" i="35" s="1"/>
  <c r="B275" i="35" s="1"/>
  <c r="E254" i="30"/>
  <c r="F254" i="30" s="1"/>
  <c r="B255" i="30" s="1"/>
  <c r="D275" i="35" l="1"/>
  <c r="C275" i="35"/>
  <c r="E275" i="35" s="1"/>
  <c r="F275" i="35" s="1"/>
  <c r="B276" i="35" s="1"/>
  <c r="D255" i="30"/>
  <c r="C255" i="30"/>
  <c r="E255" i="30" l="1"/>
  <c r="F255" i="30" s="1"/>
  <c r="B256" i="30" s="1"/>
  <c r="D276" i="35"/>
  <c r="C276" i="35"/>
  <c r="E276" i="35" s="1"/>
  <c r="F276" i="35" s="1"/>
  <c r="B277" i="35" s="1"/>
  <c r="D256" i="30"/>
  <c r="C256" i="30"/>
  <c r="E256" i="30" s="1"/>
  <c r="F256" i="30" s="1"/>
  <c r="B257" i="30" s="1"/>
  <c r="D277" i="35" l="1"/>
  <c r="C277" i="35"/>
  <c r="E277" i="35" s="1"/>
  <c r="F277" i="35" s="1"/>
  <c r="B278" i="35" s="1"/>
  <c r="D257" i="30"/>
  <c r="C257" i="30"/>
  <c r="E257" i="30" s="1"/>
  <c r="F257" i="30" s="1"/>
  <c r="B258" i="30" s="1"/>
  <c r="D278" i="35" l="1"/>
  <c r="C278" i="35"/>
  <c r="E278" i="35" s="1"/>
  <c r="F278" i="35" s="1"/>
  <c r="B279" i="35" s="1"/>
  <c r="C258" i="30"/>
  <c r="D258" i="30"/>
  <c r="D279" i="35" l="1"/>
  <c r="C279" i="35"/>
  <c r="E279" i="35" s="1"/>
  <c r="F279" i="35" s="1"/>
  <c r="B280" i="35" s="1"/>
  <c r="E258" i="30"/>
  <c r="F258" i="30" s="1"/>
  <c r="B259" i="30" s="1"/>
  <c r="D280" i="35" l="1"/>
  <c r="C280" i="35"/>
  <c r="E280" i="35" s="1"/>
  <c r="F280" i="35" s="1"/>
  <c r="B281" i="35" s="1"/>
  <c r="D259" i="30"/>
  <c r="C259" i="30"/>
  <c r="E259" i="30" s="1"/>
  <c r="F259" i="30" s="1"/>
  <c r="B260" i="30" s="1"/>
  <c r="D281" i="35" l="1"/>
  <c r="C281" i="35"/>
  <c r="E281" i="35" s="1"/>
  <c r="F281" i="35" s="1"/>
  <c r="B282" i="35" s="1"/>
  <c r="D260" i="30"/>
  <c r="C260" i="30"/>
  <c r="E260" i="30" s="1"/>
  <c r="F260" i="30" s="1"/>
  <c r="B261" i="30" s="1"/>
  <c r="D282" i="35" l="1"/>
  <c r="C282" i="35"/>
  <c r="E282" i="35" s="1"/>
  <c r="F282" i="35" s="1"/>
  <c r="B283" i="35" s="1"/>
  <c r="D261" i="30"/>
  <c r="C261" i="30"/>
  <c r="E261" i="30" s="1"/>
  <c r="F261" i="30" s="1"/>
  <c r="B262" i="30" s="1"/>
  <c r="D283" i="35" l="1"/>
  <c r="C283" i="35"/>
  <c r="E283" i="35" s="1"/>
  <c r="F283" i="35" s="1"/>
  <c r="B284" i="35" s="1"/>
  <c r="C262" i="30"/>
  <c r="D262" i="30"/>
  <c r="D284" i="35" l="1"/>
  <c r="C284" i="35"/>
  <c r="E284" i="35" s="1"/>
  <c r="F284" i="35" s="1"/>
  <c r="B285" i="35" s="1"/>
  <c r="E262" i="30"/>
  <c r="F262" i="30" s="1"/>
  <c r="B263" i="30" s="1"/>
  <c r="D285" i="35" l="1"/>
  <c r="C285" i="35"/>
  <c r="E285" i="35" s="1"/>
  <c r="F285" i="35" s="1"/>
  <c r="B286" i="35" s="1"/>
  <c r="D263" i="30"/>
  <c r="C263" i="30"/>
  <c r="E263" i="30" s="1"/>
  <c r="F263" i="30" s="1"/>
  <c r="B264" i="30" s="1"/>
  <c r="D286" i="35" l="1"/>
  <c r="C286" i="35"/>
  <c r="E286" i="35" s="1"/>
  <c r="F286" i="35" s="1"/>
  <c r="B287" i="35" s="1"/>
  <c r="C264" i="30"/>
  <c r="D264" i="30"/>
  <c r="D287" i="35" l="1"/>
  <c r="C287" i="35"/>
  <c r="E287" i="35" s="1"/>
  <c r="F287" i="35" s="1"/>
  <c r="B288" i="35" s="1"/>
  <c r="E264" i="30"/>
  <c r="F264" i="30" s="1"/>
  <c r="B265" i="30" s="1"/>
  <c r="D288" i="35" l="1"/>
  <c r="C288" i="35"/>
  <c r="E288" i="35" s="1"/>
  <c r="F288" i="35" s="1"/>
  <c r="B289" i="35" s="1"/>
  <c r="D265" i="30"/>
  <c r="C265" i="30"/>
  <c r="E265" i="30" s="1"/>
  <c r="F265" i="30" s="1"/>
  <c r="B266" i="30" s="1"/>
  <c r="D289" i="35" l="1"/>
  <c r="C289" i="35"/>
  <c r="E289" i="35" s="1"/>
  <c r="F289" i="35" s="1"/>
  <c r="B290" i="35" s="1"/>
  <c r="C266" i="30"/>
  <c r="D266" i="30"/>
  <c r="D290" i="35" l="1"/>
  <c r="C290" i="35"/>
  <c r="E290" i="35" s="1"/>
  <c r="F290" i="35" s="1"/>
  <c r="B291" i="35" s="1"/>
  <c r="E266" i="30"/>
  <c r="F266" i="30" s="1"/>
  <c r="B267" i="30" s="1"/>
  <c r="D291" i="35" l="1"/>
  <c r="C291" i="35"/>
  <c r="E291" i="35" s="1"/>
  <c r="F291" i="35" s="1"/>
  <c r="B292" i="35" s="1"/>
  <c r="D267" i="30"/>
  <c r="C267" i="30"/>
  <c r="E267" i="30" s="1"/>
  <c r="F267" i="30" s="1"/>
  <c r="B268" i="30" s="1"/>
  <c r="D292" i="35" l="1"/>
  <c r="C292" i="35"/>
  <c r="E292" i="35" s="1"/>
  <c r="F292" i="35" s="1"/>
  <c r="B293" i="35" s="1"/>
  <c r="D268" i="30"/>
  <c r="C268" i="30"/>
  <c r="E268" i="30" s="1"/>
  <c r="F268" i="30" s="1"/>
  <c r="B269" i="30" s="1"/>
  <c r="D293" i="35" l="1"/>
  <c r="C293" i="35"/>
  <c r="E293" i="35" s="1"/>
  <c r="F293" i="35" s="1"/>
  <c r="B294" i="35" s="1"/>
  <c r="D269" i="30"/>
  <c r="C269" i="30"/>
  <c r="E269" i="30" s="1"/>
  <c r="F269" i="30" s="1"/>
  <c r="B270" i="30" s="1"/>
  <c r="D294" i="35" l="1"/>
  <c r="C294" i="35"/>
  <c r="E294" i="35" s="1"/>
  <c r="F294" i="35" s="1"/>
  <c r="B295" i="35" s="1"/>
  <c r="D270" i="30"/>
  <c r="C270" i="30"/>
  <c r="E270" i="30" s="1"/>
  <c r="F270" i="30" s="1"/>
  <c r="B271" i="30" s="1"/>
  <c r="C295" i="35" l="1"/>
  <c r="D295" i="35"/>
  <c r="C271" i="30"/>
  <c r="D271" i="30"/>
  <c r="E271" i="30" s="1"/>
  <c r="F271" i="30" s="1"/>
  <c r="B272" i="30" s="1"/>
  <c r="E295" i="35" l="1"/>
  <c r="F295" i="35" s="1"/>
  <c r="B296" i="35" s="1"/>
  <c r="C272" i="30"/>
  <c r="D272" i="30"/>
  <c r="E272" i="30" s="1"/>
  <c r="F272" i="30" s="1"/>
  <c r="B273" i="30" s="1"/>
  <c r="D296" i="35" l="1"/>
  <c r="C296" i="35"/>
  <c r="E296" i="35" s="1"/>
  <c r="F296" i="35" s="1"/>
  <c r="B297" i="35" s="1"/>
  <c r="C273" i="30"/>
  <c r="D273" i="30"/>
  <c r="E273" i="30" l="1"/>
  <c r="F273" i="30" s="1"/>
  <c r="B274" i="30" s="1"/>
  <c r="D297" i="35"/>
  <c r="C297" i="35"/>
  <c r="E297" i="35" s="1"/>
  <c r="F297" i="35" s="1"/>
  <c r="B298" i="35" s="1"/>
  <c r="C274" i="30"/>
  <c r="D274" i="30"/>
  <c r="E274" i="30" l="1"/>
  <c r="F274" i="30" s="1"/>
  <c r="B275" i="30" s="1"/>
  <c r="D298" i="35"/>
  <c r="C298" i="35"/>
  <c r="C275" i="30"/>
  <c r="D275" i="30"/>
  <c r="E275" i="30" l="1"/>
  <c r="F275" i="30" s="1"/>
  <c r="B276" i="30" s="1"/>
  <c r="E298" i="35"/>
  <c r="F298" i="35" s="1"/>
  <c r="B299" i="35" s="1"/>
  <c r="D299" i="35"/>
  <c r="C299" i="35"/>
  <c r="E299" i="35" s="1"/>
  <c r="F299" i="35" s="1"/>
  <c r="B300" i="35" s="1"/>
  <c r="C276" i="30"/>
  <c r="D276" i="30"/>
  <c r="E276" i="30" s="1"/>
  <c r="F276" i="30" s="1"/>
  <c r="B277" i="30" s="1"/>
  <c r="D300" i="35" l="1"/>
  <c r="C300" i="35"/>
  <c r="E300" i="35" s="1"/>
  <c r="F300" i="35" s="1"/>
  <c r="B301" i="35" s="1"/>
  <c r="C277" i="30"/>
  <c r="D277" i="30"/>
  <c r="D301" i="35" l="1"/>
  <c r="C301" i="35"/>
  <c r="E301" i="35" s="1"/>
  <c r="F301" i="35" s="1"/>
  <c r="B302" i="35" s="1"/>
  <c r="E277" i="30"/>
  <c r="F277" i="30" s="1"/>
  <c r="B278" i="30" s="1"/>
  <c r="D302" i="35" l="1"/>
  <c r="C302" i="35"/>
  <c r="E302" i="35" s="1"/>
  <c r="F302" i="35" s="1"/>
  <c r="B303" i="35" s="1"/>
  <c r="C278" i="30"/>
  <c r="D278" i="30"/>
  <c r="E278" i="30" s="1"/>
  <c r="F278" i="30" s="1"/>
  <c r="B279" i="30" s="1"/>
  <c r="D303" i="35" l="1"/>
  <c r="C303" i="35"/>
  <c r="E303" i="35" s="1"/>
  <c r="F303" i="35" s="1"/>
  <c r="B304" i="35" s="1"/>
  <c r="C279" i="30"/>
  <c r="D279" i="30"/>
  <c r="E279" i="30" l="1"/>
  <c r="F279" i="30" s="1"/>
  <c r="B280" i="30" s="1"/>
  <c r="D304" i="35"/>
  <c r="C304" i="35"/>
  <c r="E304" i="35" s="1"/>
  <c r="F304" i="35" s="1"/>
  <c r="B305" i="35" s="1"/>
  <c r="D280" i="30"/>
  <c r="C280" i="30"/>
  <c r="E280" i="30" s="1"/>
  <c r="F280" i="30" s="1"/>
  <c r="B281" i="30" s="1"/>
  <c r="D305" i="35" l="1"/>
  <c r="C305" i="35"/>
  <c r="E305" i="35" s="1"/>
  <c r="F305" i="35" s="1"/>
  <c r="B306" i="35" s="1"/>
  <c r="C281" i="30"/>
  <c r="D281" i="30"/>
  <c r="D306" i="35" l="1"/>
  <c r="C306" i="35"/>
  <c r="E306" i="35" s="1"/>
  <c r="F306" i="35" s="1"/>
  <c r="B307" i="35" s="1"/>
  <c r="E281" i="30"/>
  <c r="F281" i="30" s="1"/>
  <c r="B282" i="30" s="1"/>
  <c r="D307" i="35" l="1"/>
  <c r="C307" i="35"/>
  <c r="E307" i="35" s="1"/>
  <c r="F307" i="35" s="1"/>
  <c r="B308" i="35" s="1"/>
  <c r="C282" i="30"/>
  <c r="D282" i="30"/>
  <c r="D308" i="35" l="1"/>
  <c r="C308" i="35"/>
  <c r="E308" i="35" s="1"/>
  <c r="F308" i="35" s="1"/>
  <c r="B309" i="35" s="1"/>
  <c r="E282" i="30"/>
  <c r="F282" i="30" s="1"/>
  <c r="B283" i="30" s="1"/>
  <c r="D309" i="35" l="1"/>
  <c r="C309" i="35"/>
  <c r="E309" i="35" s="1"/>
  <c r="F309" i="35" s="1"/>
  <c r="B310" i="35" s="1"/>
  <c r="C283" i="30"/>
  <c r="D283" i="30"/>
  <c r="D310" i="35" l="1"/>
  <c r="C310" i="35"/>
  <c r="E310" i="35" s="1"/>
  <c r="F310" i="35" s="1"/>
  <c r="B311" i="35" s="1"/>
  <c r="E283" i="30"/>
  <c r="F283" i="30" s="1"/>
  <c r="B284" i="30" s="1"/>
  <c r="D311" i="35" l="1"/>
  <c r="C311" i="35"/>
  <c r="E311" i="35" s="1"/>
  <c r="F311" i="35" s="1"/>
  <c r="B312" i="35" s="1"/>
  <c r="D284" i="30"/>
  <c r="C284" i="30"/>
  <c r="E284" i="30" s="1"/>
  <c r="F284" i="30" s="1"/>
  <c r="B285" i="30" s="1"/>
  <c r="D312" i="35" l="1"/>
  <c r="C312" i="35"/>
  <c r="D285" i="30"/>
  <c r="C285" i="30"/>
  <c r="E312" i="35" l="1"/>
  <c r="F312" i="35" s="1"/>
  <c r="B313" i="35" s="1"/>
  <c r="E285" i="30"/>
  <c r="F285" i="30" s="1"/>
  <c r="B286" i="30" s="1"/>
  <c r="C18" i="29"/>
  <c r="C17" i="29"/>
  <c r="C16" i="29"/>
  <c r="C15" i="29"/>
  <c r="C14" i="29"/>
  <c r="C13" i="29"/>
  <c r="C12" i="29"/>
  <c r="C11" i="29"/>
  <c r="C10" i="29"/>
  <c r="C9" i="29"/>
  <c r="C5" i="29"/>
  <c r="D313" i="35" l="1"/>
  <c r="C313" i="35"/>
  <c r="E313" i="35" s="1"/>
  <c r="F313" i="35" s="1"/>
  <c r="B314" i="35" s="1"/>
  <c r="C286" i="30"/>
  <c r="D286" i="30"/>
  <c r="C22" i="29"/>
  <c r="E286" i="30" l="1"/>
  <c r="F286" i="30" s="1"/>
  <c r="B287" i="30" s="1"/>
  <c r="D314" i="35"/>
  <c r="C314" i="35"/>
  <c r="E314" i="35" s="1"/>
  <c r="F314" i="35" s="1"/>
  <c r="B315" i="35" s="1"/>
  <c r="C287" i="30"/>
  <c r="D287" i="30"/>
  <c r="E287" i="30" l="1"/>
  <c r="F287" i="30" s="1"/>
  <c r="B288" i="30" s="1"/>
  <c r="D315" i="35"/>
  <c r="C315" i="35"/>
  <c r="E315" i="35" s="1"/>
  <c r="F315" i="35" s="1"/>
  <c r="B316" i="35" s="1"/>
  <c r="C288" i="30"/>
  <c r="D288" i="30"/>
  <c r="D316" i="35" l="1"/>
  <c r="C316" i="35"/>
  <c r="E316" i="35" s="1"/>
  <c r="F316" i="35" s="1"/>
  <c r="B317" i="35" s="1"/>
  <c r="E288" i="30"/>
  <c r="F288" i="30" s="1"/>
  <c r="B289" i="30" s="1"/>
  <c r="D317" i="35" l="1"/>
  <c r="C317" i="35"/>
  <c r="E317" i="35" s="1"/>
  <c r="F317" i="35" s="1"/>
  <c r="B318" i="35" s="1"/>
  <c r="D289" i="30"/>
  <c r="C289" i="30"/>
  <c r="H19" i="26"/>
  <c r="G19" i="26"/>
  <c r="F19" i="26"/>
  <c r="H18" i="26"/>
  <c r="G18" i="26"/>
  <c r="F18" i="26"/>
  <c r="H17" i="26"/>
  <c r="G17" i="26"/>
  <c r="F17" i="26"/>
  <c r="H16" i="26"/>
  <c r="H20" i="26" s="1"/>
  <c r="G16" i="26"/>
  <c r="F16" i="26"/>
  <c r="G33" i="25"/>
  <c r="F33" i="25"/>
  <c r="E33" i="25"/>
  <c r="H32" i="25"/>
  <c r="A32" i="25"/>
  <c r="H30" i="25"/>
  <c r="A30" i="25"/>
  <c r="H28" i="25"/>
  <c r="A28" i="25"/>
  <c r="H26" i="25"/>
  <c r="A26" i="25"/>
  <c r="H24" i="25"/>
  <c r="A24" i="25"/>
  <c r="H22" i="25"/>
  <c r="A22" i="25"/>
  <c r="H20" i="25"/>
  <c r="A20" i="25"/>
  <c r="G16" i="25"/>
  <c r="F16" i="25"/>
  <c r="D17" i="24" s="1"/>
  <c r="E16" i="25"/>
  <c r="I15" i="25"/>
  <c r="H15" i="25"/>
  <c r="I13" i="25"/>
  <c r="H13" i="25"/>
  <c r="H11" i="25"/>
  <c r="I11" i="25" s="1"/>
  <c r="I9" i="25"/>
  <c r="H9" i="25"/>
  <c r="I7" i="25"/>
  <c r="H7" i="25"/>
  <c r="I5" i="25"/>
  <c r="H5" i="25"/>
  <c r="H3" i="25"/>
  <c r="H16" i="25" s="1"/>
  <c r="D12" i="24" s="1"/>
  <c r="B17" i="24"/>
  <c r="C17" i="24" s="1"/>
  <c r="D7" i="24"/>
  <c r="D318" i="35" l="1"/>
  <c r="C318" i="35"/>
  <c r="E318" i="35" s="1"/>
  <c r="F318" i="35" s="1"/>
  <c r="B319" i="35" s="1"/>
  <c r="E289" i="30"/>
  <c r="F289" i="30" s="1"/>
  <c r="B290" i="30" s="1"/>
  <c r="I33" i="25"/>
  <c r="D13" i="24"/>
  <c r="D14" i="24" s="1"/>
  <c r="D18" i="24" s="1"/>
  <c r="H33" i="25"/>
  <c r="B4" i="24" s="1"/>
  <c r="I3" i="25"/>
  <c r="I16" i="25" s="1"/>
  <c r="D319" i="35" l="1"/>
  <c r="C319" i="35"/>
  <c r="E319" i="35" s="1"/>
  <c r="F319" i="35" s="1"/>
  <c r="B320" i="35" s="1"/>
  <c r="C290" i="30"/>
  <c r="D290" i="30"/>
  <c r="E18" i="24"/>
  <c r="B10" i="24"/>
  <c r="C11" i="24"/>
  <c r="E290" i="30" l="1"/>
  <c r="F290" i="30" s="1"/>
  <c r="B291" i="30" s="1"/>
  <c r="D320" i="35"/>
  <c r="C320" i="35"/>
  <c r="E320" i="35" s="1"/>
  <c r="F320" i="35" s="1"/>
  <c r="B321" i="35" s="1"/>
  <c r="C291" i="30"/>
  <c r="D291" i="30"/>
  <c r="C6" i="24"/>
  <c r="C7" i="24" s="1"/>
  <c r="C13" i="24"/>
  <c r="C14" i="24" s="1"/>
  <c r="B13" i="24"/>
  <c r="B14" i="24" s="1"/>
  <c r="B18" i="24" s="1"/>
  <c r="D19" i="24" s="1"/>
  <c r="B6" i="24"/>
  <c r="E291" i="30" l="1"/>
  <c r="F291" i="30" s="1"/>
  <c r="B292" i="30" s="1"/>
  <c r="D321" i="35"/>
  <c r="C321" i="35"/>
  <c r="E321" i="35" s="1"/>
  <c r="F321" i="35" s="1"/>
  <c r="B322" i="35" s="1"/>
  <c r="C292" i="30"/>
  <c r="D292" i="30"/>
  <c r="C18" i="24"/>
  <c r="C19" i="24" s="1"/>
  <c r="E292" i="30" l="1"/>
  <c r="F292" i="30" s="1"/>
  <c r="B293" i="30" s="1"/>
  <c r="D322" i="35"/>
  <c r="C322" i="35"/>
  <c r="E322" i="35" s="1"/>
  <c r="F322" i="35" s="1"/>
  <c r="B323" i="35" s="1"/>
  <c r="C293" i="30"/>
  <c r="D293" i="30"/>
  <c r="H44" i="16"/>
  <c r="H43" i="16"/>
  <c r="H42" i="16"/>
  <c r="H40" i="16"/>
  <c r="H44" i="15"/>
  <c r="H43" i="15"/>
  <c r="H42" i="15"/>
  <c r="H40" i="15"/>
  <c r="H44" i="3"/>
  <c r="G18" i="3"/>
  <c r="H18" i="3" s="1"/>
  <c r="G19" i="3"/>
  <c r="H19" i="3" s="1"/>
  <c r="G21" i="3"/>
  <c r="G20" i="3"/>
  <c r="G46" i="3"/>
  <c r="G45" i="3"/>
  <c r="G44" i="3"/>
  <c r="G43" i="3"/>
  <c r="H43" i="3" s="1"/>
  <c r="E18" i="3"/>
  <c r="F14" i="23"/>
  <c r="E14" i="23"/>
  <c r="E293" i="30" l="1"/>
  <c r="F293" i="30" s="1"/>
  <c r="B294" i="30" s="1"/>
  <c r="C323" i="35"/>
  <c r="D323" i="35"/>
  <c r="C294" i="30"/>
  <c r="D294" i="30"/>
  <c r="D18" i="3"/>
  <c r="F18" i="3"/>
  <c r="H9" i="2"/>
  <c r="A41" i="3"/>
  <c r="A39" i="3"/>
  <c r="A34" i="3"/>
  <c r="A28" i="3"/>
  <c r="C22" i="2"/>
  <c r="D22" i="2"/>
  <c r="E22" i="2"/>
  <c r="F22" i="2"/>
  <c r="G22" i="2"/>
  <c r="H22" i="2"/>
  <c r="B2" i="2"/>
  <c r="B3" i="22"/>
  <c r="H55" i="22"/>
  <c r="G55" i="22"/>
  <c r="H54" i="22"/>
  <c r="G54" i="22"/>
  <c r="F54" i="22"/>
  <c r="F55" i="22" s="1"/>
  <c r="E54" i="22"/>
  <c r="E55" i="22" s="1"/>
  <c r="G53" i="22"/>
  <c r="F53" i="22"/>
  <c r="E53" i="22"/>
  <c r="D53" i="22"/>
  <c r="C53" i="22"/>
  <c r="H52" i="22"/>
  <c r="H53" i="22" s="1"/>
  <c r="G52" i="22"/>
  <c r="F52" i="22"/>
  <c r="E52" i="22"/>
  <c r="D52" i="22"/>
  <c r="C52" i="22"/>
  <c r="H47" i="22"/>
  <c r="G47" i="22"/>
  <c r="F47" i="22"/>
  <c r="E47" i="22"/>
  <c r="H46" i="22"/>
  <c r="G46" i="22"/>
  <c r="F46" i="22"/>
  <c r="E46" i="22"/>
  <c r="D46" i="22"/>
  <c r="D54" i="22" s="1"/>
  <c r="D55" i="22" s="1"/>
  <c r="C46" i="22"/>
  <c r="C54" i="22" s="1"/>
  <c r="C55" i="22" s="1"/>
  <c r="H37" i="22"/>
  <c r="H58" i="22" s="1"/>
  <c r="G37" i="22"/>
  <c r="G58" i="22" s="1"/>
  <c r="G59" i="22" s="1"/>
  <c r="G60" i="22" s="1"/>
  <c r="H35" i="22"/>
  <c r="G35" i="22"/>
  <c r="F35" i="22"/>
  <c r="F37" i="22" s="1"/>
  <c r="F58" i="22" s="1"/>
  <c r="F59" i="22" s="1"/>
  <c r="F60" i="22" s="1"/>
  <c r="E35" i="22"/>
  <c r="E37" i="22" s="1"/>
  <c r="E58" i="22" s="1"/>
  <c r="D35" i="22"/>
  <c r="D37" i="22" s="1"/>
  <c r="D58" i="22" s="1"/>
  <c r="C35" i="22"/>
  <c r="H29" i="22"/>
  <c r="G29" i="22"/>
  <c r="F29" i="22"/>
  <c r="E29" i="22"/>
  <c r="D29" i="22"/>
  <c r="C29" i="22"/>
  <c r="C37" i="22" s="1"/>
  <c r="H23" i="22"/>
  <c r="G23" i="22"/>
  <c r="F23" i="22"/>
  <c r="E23" i="22"/>
  <c r="D23" i="22"/>
  <c r="C23" i="22"/>
  <c r="H17" i="22"/>
  <c r="G17" i="22"/>
  <c r="F17" i="22"/>
  <c r="E17" i="22"/>
  <c r="D17" i="22"/>
  <c r="C17" i="22"/>
  <c r="H9" i="22"/>
  <c r="G9" i="22"/>
  <c r="F9" i="22"/>
  <c r="E9" i="22"/>
  <c r="D9" i="22"/>
  <c r="C9" i="22"/>
  <c r="H5" i="22"/>
  <c r="H62" i="22" s="1"/>
  <c r="G5" i="22"/>
  <c r="G31" i="22" s="1"/>
  <c r="F5" i="22"/>
  <c r="F48" i="22" s="1"/>
  <c r="E5" i="22"/>
  <c r="E31" i="22" s="1"/>
  <c r="D5" i="22"/>
  <c r="D40" i="22" s="1"/>
  <c r="C5" i="22"/>
  <c r="C11" i="22" s="1"/>
  <c r="B2" i="22"/>
  <c r="B3" i="21"/>
  <c r="B2" i="21"/>
  <c r="C28" i="2"/>
  <c r="D5" i="21"/>
  <c r="D62" i="21" s="1"/>
  <c r="E5" i="21"/>
  <c r="E25" i="21" s="1"/>
  <c r="F5" i="21"/>
  <c r="F62" i="21" s="1"/>
  <c r="G5" i="21"/>
  <c r="G40" i="21" s="1"/>
  <c r="H5" i="21"/>
  <c r="H40" i="21" s="1"/>
  <c r="C5" i="21"/>
  <c r="C11" i="21" s="1"/>
  <c r="D53" i="21"/>
  <c r="C53" i="21"/>
  <c r="H52" i="21"/>
  <c r="H53" i="21" s="1"/>
  <c r="G52" i="21"/>
  <c r="G53" i="21" s="1"/>
  <c r="F52" i="21"/>
  <c r="E52" i="21"/>
  <c r="E53" i="21" s="1"/>
  <c r="D52" i="21"/>
  <c r="C52" i="21"/>
  <c r="F48" i="21"/>
  <c r="F47" i="21"/>
  <c r="E47" i="21"/>
  <c r="H46" i="21"/>
  <c r="H54" i="21" s="1"/>
  <c r="H55" i="21" s="1"/>
  <c r="G46" i="21"/>
  <c r="G54" i="21" s="1"/>
  <c r="G55" i="21" s="1"/>
  <c r="F46" i="21"/>
  <c r="E46" i="21"/>
  <c r="D46" i="21"/>
  <c r="D47" i="21" s="1"/>
  <c r="C46" i="21"/>
  <c r="C54" i="21" s="1"/>
  <c r="C55" i="21" s="1"/>
  <c r="F35" i="21"/>
  <c r="E35" i="21"/>
  <c r="D35" i="21"/>
  <c r="C35" i="21"/>
  <c r="H29" i="21"/>
  <c r="G29" i="21"/>
  <c r="F29" i="21"/>
  <c r="E29" i="21"/>
  <c r="D29" i="21"/>
  <c r="C29" i="21"/>
  <c r="H23" i="21"/>
  <c r="G23" i="21"/>
  <c r="F23" i="21"/>
  <c r="E23" i="21"/>
  <c r="D23" i="21"/>
  <c r="C23" i="21"/>
  <c r="H17" i="21"/>
  <c r="G17" i="21"/>
  <c r="F17" i="21"/>
  <c r="E17" i="21"/>
  <c r="D17" i="21"/>
  <c r="C17" i="21"/>
  <c r="H9" i="21"/>
  <c r="G9" i="21"/>
  <c r="F9" i="21"/>
  <c r="E9" i="21"/>
  <c r="D9" i="21"/>
  <c r="C9" i="21"/>
  <c r="A16" i="3"/>
  <c r="A14" i="3"/>
  <c r="B16" i="18"/>
  <c r="B5" i="18"/>
  <c r="B2" i="18"/>
  <c r="D9" i="2"/>
  <c r="E9" i="2"/>
  <c r="F9" i="2"/>
  <c r="G9" i="2"/>
  <c r="C9" i="2"/>
  <c r="D16" i="2"/>
  <c r="E16" i="2"/>
  <c r="F16" i="2"/>
  <c r="G16" i="2"/>
  <c r="H16" i="2"/>
  <c r="C16" i="2"/>
  <c r="A8" i="3"/>
  <c r="C19" i="3" s="1"/>
  <c r="C51" i="2"/>
  <c r="C52" i="2" s="1"/>
  <c r="D51" i="2"/>
  <c r="D52" i="2" s="1"/>
  <c r="E51" i="2"/>
  <c r="E52" i="2" s="1"/>
  <c r="F51" i="2"/>
  <c r="F52" i="2" s="1"/>
  <c r="H51" i="2"/>
  <c r="H52" i="2" s="1"/>
  <c r="G51" i="2"/>
  <c r="G52" i="2" s="1"/>
  <c r="H45" i="2"/>
  <c r="H46" i="2" s="1"/>
  <c r="D45" i="2"/>
  <c r="D46" i="2" s="1"/>
  <c r="E45" i="2"/>
  <c r="E46" i="2" s="1"/>
  <c r="F45" i="2"/>
  <c r="F46" i="2" s="1"/>
  <c r="G45" i="2"/>
  <c r="G46" i="2" s="1"/>
  <c r="C45" i="2"/>
  <c r="C46" i="2" s="1"/>
  <c r="D28" i="2"/>
  <c r="E28" i="2"/>
  <c r="F28" i="2"/>
  <c r="G28" i="2"/>
  <c r="H28" i="2"/>
  <c r="E34" i="2"/>
  <c r="D34" i="2"/>
  <c r="C34" i="2"/>
  <c r="F25" i="21" l="1"/>
  <c r="F31" i="21"/>
  <c r="E323" i="35"/>
  <c r="F323" i="35" s="1"/>
  <c r="B324" i="35" s="1"/>
  <c r="E294" i="30"/>
  <c r="F294" i="30" s="1"/>
  <c r="B295" i="30" s="1"/>
  <c r="G53" i="2"/>
  <c r="G54" i="2" s="1"/>
  <c r="F40" i="21"/>
  <c r="F19" i="21"/>
  <c r="G25" i="21"/>
  <c r="G31" i="21"/>
  <c r="G62" i="21"/>
  <c r="F11" i="21"/>
  <c r="G11" i="21"/>
  <c r="G25" i="22"/>
  <c r="H11" i="21"/>
  <c r="G19" i="21"/>
  <c r="G48" i="21"/>
  <c r="H25" i="22"/>
  <c r="G11" i="22"/>
  <c r="G48" i="22"/>
  <c r="H19" i="21"/>
  <c r="H62" i="21"/>
  <c r="H11" i="22"/>
  <c r="H48" i="22"/>
  <c r="H59" i="22"/>
  <c r="H60" i="22" s="1"/>
  <c r="C58" i="22"/>
  <c r="D59" i="22" s="1"/>
  <c r="D60" i="22" s="1"/>
  <c r="E59" i="22"/>
  <c r="E60" i="22" s="1"/>
  <c r="C31" i="22"/>
  <c r="C40" i="22"/>
  <c r="C62" i="22"/>
  <c r="F31" i="22"/>
  <c r="D62" i="22"/>
  <c r="C25" i="22"/>
  <c r="E40" i="22"/>
  <c r="C48" i="22"/>
  <c r="E62" i="22"/>
  <c r="D11" i="22"/>
  <c r="H19" i="22"/>
  <c r="D25" i="22"/>
  <c r="H31" i="22"/>
  <c r="F40" i="22"/>
  <c r="D48" i="22"/>
  <c r="F62" i="22"/>
  <c r="C19" i="22"/>
  <c r="D19" i="22"/>
  <c r="D31" i="22"/>
  <c r="F19" i="22"/>
  <c r="G19" i="22"/>
  <c r="E11" i="22"/>
  <c r="E25" i="22"/>
  <c r="G40" i="22"/>
  <c r="C47" i="22"/>
  <c r="E48" i="22"/>
  <c r="G62" i="22"/>
  <c r="E19" i="22"/>
  <c r="F11" i="22"/>
  <c r="F25" i="22"/>
  <c r="H40" i="22"/>
  <c r="D47" i="22"/>
  <c r="E54" i="21"/>
  <c r="E55" i="21" s="1"/>
  <c r="D54" i="21"/>
  <c r="D55" i="21" s="1"/>
  <c r="F54" i="21"/>
  <c r="F55" i="21" s="1"/>
  <c r="C37" i="21"/>
  <c r="C58" i="21" s="1"/>
  <c r="D31" i="21"/>
  <c r="D48" i="21"/>
  <c r="H48" i="21"/>
  <c r="H25" i="21"/>
  <c r="H31" i="21"/>
  <c r="E31" i="21"/>
  <c r="D19" i="21"/>
  <c r="D40" i="21"/>
  <c r="E62" i="21"/>
  <c r="E11" i="21"/>
  <c r="E48" i="21"/>
  <c r="E40" i="21"/>
  <c r="D25" i="21"/>
  <c r="E19" i="21"/>
  <c r="D11" i="21"/>
  <c r="C31" i="21"/>
  <c r="C25" i="21"/>
  <c r="C62" i="21"/>
  <c r="C40" i="21"/>
  <c r="C19" i="21"/>
  <c r="C48" i="21"/>
  <c r="E37" i="21"/>
  <c r="E58" i="21" s="1"/>
  <c r="D37" i="21"/>
  <c r="F37" i="21"/>
  <c r="F58" i="21" s="1"/>
  <c r="H35" i="21"/>
  <c r="H37" i="21" s="1"/>
  <c r="H58" i="21" s="1"/>
  <c r="G35" i="21"/>
  <c r="G37" i="21" s="1"/>
  <c r="G58" i="21" s="1"/>
  <c r="G47" i="21"/>
  <c r="H47" i="21"/>
  <c r="F53" i="21"/>
  <c r="C47" i="21"/>
  <c r="E53" i="2"/>
  <c r="E54" i="2" s="1"/>
  <c r="D36" i="2"/>
  <c r="C53" i="2"/>
  <c r="C54" i="2" s="1"/>
  <c r="F53" i="2"/>
  <c r="F54" i="2" s="1"/>
  <c r="C36" i="2"/>
  <c r="D53" i="2"/>
  <c r="D54" i="2" s="1"/>
  <c r="H53" i="2"/>
  <c r="H54" i="2" s="1"/>
  <c r="E36" i="2"/>
  <c r="H34" i="2"/>
  <c r="H36" i="2" s="1"/>
  <c r="G34" i="2"/>
  <c r="F34" i="2"/>
  <c r="F36" i="2" s="1"/>
  <c r="E27" i="18"/>
  <c r="F27" i="18"/>
  <c r="G27" i="18"/>
  <c r="H27" i="18"/>
  <c r="C37" i="15"/>
  <c r="D37" i="15" s="1"/>
  <c r="C37" i="16"/>
  <c r="D37" i="16" s="1"/>
  <c r="D324" i="35" l="1"/>
  <c r="C324" i="35"/>
  <c r="E324" i="35" s="1"/>
  <c r="F324" i="35" s="1"/>
  <c r="B325" i="35" s="1"/>
  <c r="C295" i="30"/>
  <c r="D295" i="30"/>
  <c r="D58" i="21"/>
  <c r="E59" i="21" s="1"/>
  <c r="E60" i="21" s="1"/>
  <c r="F59" i="21"/>
  <c r="F60" i="21" s="1"/>
  <c r="G59" i="21"/>
  <c r="G60" i="21" s="1"/>
  <c r="H59" i="21"/>
  <c r="H60" i="21" s="1"/>
  <c r="H56" i="2"/>
  <c r="D16" i="18"/>
  <c r="H16" i="18"/>
  <c r="C16" i="18"/>
  <c r="A3" i="3"/>
  <c r="B5" i="16"/>
  <c r="C5" i="16" s="1"/>
  <c r="D5" i="16" s="1"/>
  <c r="A5" i="16"/>
  <c r="B4" i="16"/>
  <c r="C4" i="16" s="1"/>
  <c r="A4" i="16"/>
  <c r="B56" i="16"/>
  <c r="C54" i="16"/>
  <c r="D54" i="16" s="1"/>
  <c r="C53" i="16"/>
  <c r="D53" i="16" s="1"/>
  <c r="C52" i="16"/>
  <c r="D52" i="16" s="1"/>
  <c r="C51" i="16"/>
  <c r="D51" i="16" s="1"/>
  <c r="C50" i="16"/>
  <c r="D50" i="16" s="1"/>
  <c r="C49" i="16"/>
  <c r="D49" i="16" s="1"/>
  <c r="C48" i="16"/>
  <c r="D48" i="16" s="1"/>
  <c r="C47" i="16"/>
  <c r="D47" i="16" s="1"/>
  <c r="C44" i="16"/>
  <c r="D44" i="16" s="1"/>
  <c r="C43" i="16"/>
  <c r="D43" i="16" s="1"/>
  <c r="C42" i="16"/>
  <c r="D42" i="16" s="1"/>
  <c r="C41" i="16"/>
  <c r="D41" i="16" s="1"/>
  <c r="C39" i="16"/>
  <c r="D39" i="16" s="1"/>
  <c r="C36" i="16"/>
  <c r="D36" i="16" s="1"/>
  <c r="D35" i="16"/>
  <c r="C35" i="16"/>
  <c r="C34" i="16"/>
  <c r="D34" i="16" s="1"/>
  <c r="C33" i="16"/>
  <c r="D33" i="16" s="1"/>
  <c r="C32" i="16"/>
  <c r="D32" i="16" s="1"/>
  <c r="C30" i="16"/>
  <c r="D30" i="16" s="1"/>
  <c r="C29" i="16"/>
  <c r="D29" i="16" s="1"/>
  <c r="C28" i="16"/>
  <c r="D28" i="16" s="1"/>
  <c r="C27" i="16"/>
  <c r="D27" i="16" s="1"/>
  <c r="C25" i="16"/>
  <c r="D25" i="16" s="1"/>
  <c r="C24" i="16"/>
  <c r="D24" i="16" s="1"/>
  <c r="C23" i="16"/>
  <c r="D23" i="16" s="1"/>
  <c r="C21" i="16"/>
  <c r="D21" i="16" s="1"/>
  <c r="D20" i="16"/>
  <c r="C20" i="16"/>
  <c r="C19" i="16"/>
  <c r="D19" i="16" s="1"/>
  <c r="C17" i="16"/>
  <c r="D17" i="16" s="1"/>
  <c r="C16" i="16"/>
  <c r="D16" i="16" s="1"/>
  <c r="D15" i="16"/>
  <c r="C15" i="16"/>
  <c r="C14" i="16"/>
  <c r="D14" i="16" s="1"/>
  <c r="C13" i="16"/>
  <c r="D13" i="16" s="1"/>
  <c r="C6" i="16"/>
  <c r="D6" i="16" s="1"/>
  <c r="B56" i="15"/>
  <c r="C54" i="15"/>
  <c r="D54" i="15" s="1"/>
  <c r="C53" i="15"/>
  <c r="D53" i="15" s="1"/>
  <c r="C52" i="15"/>
  <c r="D52" i="15" s="1"/>
  <c r="C51" i="15"/>
  <c r="D51" i="15" s="1"/>
  <c r="C50" i="15"/>
  <c r="D50" i="15" s="1"/>
  <c r="C49" i="15"/>
  <c r="D49" i="15" s="1"/>
  <c r="C48" i="15"/>
  <c r="D48" i="15" s="1"/>
  <c r="C47" i="15"/>
  <c r="D47" i="15" s="1"/>
  <c r="C44" i="15"/>
  <c r="D44" i="15" s="1"/>
  <c r="C43" i="15"/>
  <c r="D43" i="15" s="1"/>
  <c r="C42" i="15"/>
  <c r="D42" i="15" s="1"/>
  <c r="C41" i="15"/>
  <c r="D41" i="15" s="1"/>
  <c r="C39" i="15"/>
  <c r="D39" i="15" s="1"/>
  <c r="C36" i="15"/>
  <c r="D36" i="15" s="1"/>
  <c r="C35" i="15"/>
  <c r="D35" i="15" s="1"/>
  <c r="C34" i="15"/>
  <c r="D34" i="15" s="1"/>
  <c r="C33" i="15"/>
  <c r="D33" i="15" s="1"/>
  <c r="C32" i="15"/>
  <c r="D32" i="15" s="1"/>
  <c r="C30" i="15"/>
  <c r="D30" i="15" s="1"/>
  <c r="C29" i="15"/>
  <c r="D29" i="15" s="1"/>
  <c r="C28" i="15"/>
  <c r="D28" i="15" s="1"/>
  <c r="C27" i="15"/>
  <c r="D27" i="15" s="1"/>
  <c r="C25" i="15"/>
  <c r="D25" i="15" s="1"/>
  <c r="D24" i="15"/>
  <c r="C24" i="15"/>
  <c r="C23" i="15"/>
  <c r="D23" i="15" s="1"/>
  <c r="C21" i="15"/>
  <c r="D21" i="15" s="1"/>
  <c r="C20" i="15"/>
  <c r="D20" i="15" s="1"/>
  <c r="C19" i="15"/>
  <c r="D19" i="15" s="1"/>
  <c r="C17" i="15"/>
  <c r="D17" i="15" s="1"/>
  <c r="C16" i="15"/>
  <c r="D16" i="15" s="1"/>
  <c r="C15" i="15"/>
  <c r="D15" i="15" s="1"/>
  <c r="C14" i="15"/>
  <c r="D14" i="15" s="1"/>
  <c r="C13" i="15"/>
  <c r="D13" i="15" s="1"/>
  <c r="B8" i="15"/>
  <c r="C6" i="15"/>
  <c r="D6" i="15" s="1"/>
  <c r="C5" i="15"/>
  <c r="D5" i="15" s="1"/>
  <c r="C4" i="15"/>
  <c r="D4" i="15" s="1"/>
  <c r="F43" i="3"/>
  <c r="D325" i="35" l="1"/>
  <c r="C325" i="35"/>
  <c r="E325" i="35" s="1"/>
  <c r="F325" i="35" s="1"/>
  <c r="B326" i="35" s="1"/>
  <c r="E295" i="30"/>
  <c r="F295" i="30" s="1"/>
  <c r="B296" i="30" s="1"/>
  <c r="D59" i="21"/>
  <c r="D60" i="21" s="1"/>
  <c r="C8" i="15"/>
  <c r="B8" i="16"/>
  <c r="B58" i="16" s="1"/>
  <c r="G16" i="18"/>
  <c r="F16" i="18"/>
  <c r="E16" i="18"/>
  <c r="D27" i="18"/>
  <c r="C27" i="18"/>
  <c r="B58" i="15"/>
  <c r="C8" i="16"/>
  <c r="D56" i="16"/>
  <c r="E30" i="16"/>
  <c r="D4" i="16"/>
  <c r="C56" i="16"/>
  <c r="D8" i="15"/>
  <c r="E4" i="15" s="1"/>
  <c r="D56" i="15"/>
  <c r="C56" i="15"/>
  <c r="C58" i="15" s="1"/>
  <c r="G36" i="2"/>
  <c r="D326" i="35" l="1"/>
  <c r="C326" i="35"/>
  <c r="E326" i="35" s="1"/>
  <c r="F326" i="35" s="1"/>
  <c r="B327" i="35" s="1"/>
  <c r="D296" i="30"/>
  <c r="C296" i="30"/>
  <c r="E296" i="30" s="1"/>
  <c r="F296" i="30" s="1"/>
  <c r="B297" i="30" s="1"/>
  <c r="E48" i="15"/>
  <c r="E37" i="15"/>
  <c r="E52" i="16"/>
  <c r="E37" i="16"/>
  <c r="E25" i="16"/>
  <c r="C58" i="16"/>
  <c r="E34" i="16"/>
  <c r="E23" i="16"/>
  <c r="E17" i="16"/>
  <c r="E49" i="16"/>
  <c r="E13" i="16"/>
  <c r="E33" i="16"/>
  <c r="E20" i="16"/>
  <c r="E43" i="16"/>
  <c r="E39" i="16"/>
  <c r="E35" i="16"/>
  <c r="D8" i="16"/>
  <c r="E4" i="16" s="1"/>
  <c r="E16" i="16"/>
  <c r="E19" i="16"/>
  <c r="E51" i="16"/>
  <c r="E27" i="16"/>
  <c r="E24" i="16"/>
  <c r="E44" i="16"/>
  <c r="E32" i="16"/>
  <c r="E36" i="16"/>
  <c r="E54" i="16"/>
  <c r="E21" i="16"/>
  <c r="E28" i="16"/>
  <c r="E42" i="16"/>
  <c r="E47" i="16"/>
  <c r="E14" i="16"/>
  <c r="E53" i="16"/>
  <c r="E50" i="16"/>
  <c r="E48" i="16"/>
  <c r="E41" i="16"/>
  <c r="E15" i="16"/>
  <c r="E29" i="16"/>
  <c r="E53" i="15"/>
  <c r="E25" i="15"/>
  <c r="E39" i="15"/>
  <c r="E17" i="15"/>
  <c r="E30" i="15"/>
  <c r="E51" i="15"/>
  <c r="E24" i="15"/>
  <c r="E34" i="15"/>
  <c r="E6" i="15"/>
  <c r="E41" i="15"/>
  <c r="E13" i="15"/>
  <c r="E23" i="15"/>
  <c r="E21" i="15"/>
  <c r="E44" i="15"/>
  <c r="E5" i="15"/>
  <c r="E27" i="15"/>
  <c r="E33" i="15"/>
  <c r="E49" i="15"/>
  <c r="E42" i="15"/>
  <c r="E52" i="15"/>
  <c r="E35" i="15"/>
  <c r="E32" i="15"/>
  <c r="E19" i="15"/>
  <c r="E16" i="15"/>
  <c r="E47" i="15"/>
  <c r="E28" i="15"/>
  <c r="E50" i="15"/>
  <c r="E15" i="15"/>
  <c r="E36" i="15"/>
  <c r="E20" i="15"/>
  <c r="D58" i="15"/>
  <c r="E43" i="15"/>
  <c r="E54" i="15"/>
  <c r="E29" i="15"/>
  <c r="E14" i="15"/>
  <c r="C20" i="3"/>
  <c r="B36" i="10"/>
  <c r="B38" i="10"/>
  <c r="A3" i="12"/>
  <c r="E16" i="12"/>
  <c r="D327" i="35" l="1"/>
  <c r="C327" i="35"/>
  <c r="E327" i="35" s="1"/>
  <c r="F327" i="35" s="1"/>
  <c r="B328" i="35" s="1"/>
  <c r="D297" i="30"/>
  <c r="C297" i="30"/>
  <c r="D58" i="16"/>
  <c r="E6" i="16"/>
  <c r="E5" i="16"/>
  <c r="E19" i="3"/>
  <c r="C18" i="3"/>
  <c r="D19" i="3"/>
  <c r="F19" i="3"/>
  <c r="D20" i="3"/>
  <c r="E20" i="3"/>
  <c r="F20" i="3"/>
  <c r="C21" i="3"/>
  <c r="D21" i="3"/>
  <c r="E21" i="3"/>
  <c r="F21" i="3"/>
  <c r="I7" i="10"/>
  <c r="I9" i="10"/>
  <c r="I10" i="10"/>
  <c r="B11" i="10"/>
  <c r="B13" i="10" s="1"/>
  <c r="C11" i="10"/>
  <c r="D11" i="10"/>
  <c r="E11" i="10"/>
  <c r="F11" i="10"/>
  <c r="F13" i="10" s="1"/>
  <c r="F36" i="10" s="1"/>
  <c r="F37" i="10" s="1"/>
  <c r="F48" i="10" s="1"/>
  <c r="G11" i="10"/>
  <c r="H11" i="10"/>
  <c r="I12" i="10"/>
  <c r="C13" i="10"/>
  <c r="D13" i="10"/>
  <c r="E13" i="10"/>
  <c r="E36" i="10" s="1"/>
  <c r="E37" i="10" s="1"/>
  <c r="E48" i="10" s="1"/>
  <c r="G13" i="10"/>
  <c r="H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8" i="10"/>
  <c r="I30" i="10"/>
  <c r="I34" i="10" s="1"/>
  <c r="I31" i="10"/>
  <c r="I32" i="10"/>
  <c r="I33" i="10"/>
  <c r="B34" i="10"/>
  <c r="C34" i="10"/>
  <c r="C35" i="10" s="1"/>
  <c r="D34" i="10"/>
  <c r="E34" i="10"/>
  <c r="F34" i="10"/>
  <c r="G34" i="10"/>
  <c r="H34" i="10"/>
  <c r="B35" i="10"/>
  <c r="D35" i="10"/>
  <c r="E35" i="10"/>
  <c r="F35" i="10"/>
  <c r="G35" i="10"/>
  <c r="G47" i="10" s="1"/>
  <c r="H35" i="10"/>
  <c r="C36" i="10"/>
  <c r="D36" i="10"/>
  <c r="G36" i="10"/>
  <c r="H36" i="10"/>
  <c r="D37" i="10"/>
  <c r="G37" i="10"/>
  <c r="G48" i="10" s="1"/>
  <c r="H37" i="10"/>
  <c r="C38" i="10"/>
  <c r="D38" i="10"/>
  <c r="E38" i="10"/>
  <c r="F38" i="10"/>
  <c r="G38" i="10"/>
  <c r="H38" i="10"/>
  <c r="I39" i="10"/>
  <c r="I40" i="10"/>
  <c r="I41" i="10"/>
  <c r="B42" i="10"/>
  <c r="D42" i="10"/>
  <c r="I42" i="10"/>
  <c r="B47" i="10"/>
  <c r="D47" i="10"/>
  <c r="E47" i="10"/>
  <c r="F47" i="10"/>
  <c r="H47" i="10"/>
  <c r="D48" i="10"/>
  <c r="H48" i="10"/>
  <c r="D328" i="35" l="1"/>
  <c r="C328" i="35"/>
  <c r="E328" i="35" s="1"/>
  <c r="F328" i="35" s="1"/>
  <c r="B329" i="35" s="1"/>
  <c r="E297" i="30"/>
  <c r="F297" i="30" s="1"/>
  <c r="B298" i="30" s="1"/>
  <c r="G22" i="3"/>
  <c r="H22" i="3" s="1"/>
  <c r="C47" i="10"/>
  <c r="I47" i="10" s="1"/>
  <c r="C37" i="10"/>
  <c r="C48" i="10" s="1"/>
  <c r="I13" i="10"/>
  <c r="I36" i="10" s="1"/>
  <c r="B37" i="10"/>
  <c r="B48" i="10" s="1"/>
  <c r="I48" i="10" s="1"/>
  <c r="I35" i="10"/>
  <c r="I38" i="10"/>
  <c r="I11" i="10"/>
  <c r="D60" i="2"/>
  <c r="E60" i="2"/>
  <c r="F60" i="2"/>
  <c r="G60" i="2"/>
  <c r="H60" i="2"/>
  <c r="C60" i="2"/>
  <c r="E43" i="3"/>
  <c r="D43" i="3"/>
  <c r="F45" i="3"/>
  <c r="E45" i="3"/>
  <c r="D45" i="3"/>
  <c r="F44" i="3"/>
  <c r="C46" i="3"/>
  <c r="C45" i="3"/>
  <c r="C44" i="3"/>
  <c r="C43" i="3"/>
  <c r="G56" i="2"/>
  <c r="D47" i="2"/>
  <c r="E47" i="2"/>
  <c r="F47" i="2"/>
  <c r="G47" i="2"/>
  <c r="H47" i="2"/>
  <c r="C47" i="2"/>
  <c r="D39" i="2"/>
  <c r="E39" i="2"/>
  <c r="F39" i="2"/>
  <c r="G39" i="2"/>
  <c r="H39" i="2"/>
  <c r="C39" i="2"/>
  <c r="D30" i="2"/>
  <c r="E30" i="2"/>
  <c r="F30" i="2"/>
  <c r="G30" i="2"/>
  <c r="H30" i="2"/>
  <c r="C30" i="2"/>
  <c r="D24" i="2"/>
  <c r="E24" i="2"/>
  <c r="F24" i="2"/>
  <c r="G24" i="2"/>
  <c r="H24" i="2"/>
  <c r="C24" i="2"/>
  <c r="D18" i="2"/>
  <c r="E18" i="2"/>
  <c r="F18" i="2"/>
  <c r="G18" i="2"/>
  <c r="H18" i="2"/>
  <c r="C18" i="2"/>
  <c r="D11" i="2"/>
  <c r="E11" i="2"/>
  <c r="F11" i="2"/>
  <c r="G11" i="2"/>
  <c r="H11" i="2"/>
  <c r="C11" i="2"/>
  <c r="D329" i="35" l="1"/>
  <c r="C329" i="35"/>
  <c r="E329" i="35" s="1"/>
  <c r="F329" i="35" s="1"/>
  <c r="B330" i="35" s="1"/>
  <c r="C298" i="30"/>
  <c r="D298" i="30"/>
  <c r="H57" i="2"/>
  <c r="H58" i="2" s="1"/>
  <c r="I37" i="10"/>
  <c r="E298" i="30" l="1"/>
  <c r="F298" i="30" s="1"/>
  <c r="B299" i="30" s="1"/>
  <c r="D330" i="35"/>
  <c r="C330" i="35"/>
  <c r="E330" i="35" s="1"/>
  <c r="F330" i="35" s="1"/>
  <c r="B331" i="35" s="1"/>
  <c r="D299" i="30"/>
  <c r="C299" i="30"/>
  <c r="E299" i="30" s="1"/>
  <c r="F299" i="30" s="1"/>
  <c r="B300" i="30" s="1"/>
  <c r="H57" i="3"/>
  <c r="F46" i="3"/>
  <c r="E46" i="3"/>
  <c r="D46" i="3"/>
  <c r="G47" i="3"/>
  <c r="H47" i="3" s="1"/>
  <c r="D44" i="3"/>
  <c r="D331" i="35" l="1"/>
  <c r="C331" i="35"/>
  <c r="E331" i="35" s="1"/>
  <c r="F331" i="35" s="1"/>
  <c r="B332" i="35" s="1"/>
  <c r="D300" i="30"/>
  <c r="C300" i="30"/>
  <c r="E300" i="30" s="1"/>
  <c r="F300" i="30" s="1"/>
  <c r="B301" i="30" s="1"/>
  <c r="E44" i="3"/>
  <c r="D332" i="35" l="1"/>
  <c r="C332" i="35"/>
  <c r="E332" i="35" s="1"/>
  <c r="F332" i="35" s="1"/>
  <c r="B333" i="35" s="1"/>
  <c r="C301" i="30"/>
  <c r="D301" i="30"/>
  <c r="F56" i="2"/>
  <c r="D333" i="35" l="1"/>
  <c r="C333" i="35"/>
  <c r="E333" i="35" s="1"/>
  <c r="F333" i="35" s="1"/>
  <c r="B334" i="35" s="1"/>
  <c r="E301" i="30"/>
  <c r="F301" i="30" s="1"/>
  <c r="B302" i="30" s="1"/>
  <c r="G57" i="2"/>
  <c r="G58" i="2" s="1"/>
  <c r="E56" i="2"/>
  <c r="D334" i="35" l="1"/>
  <c r="C334" i="35"/>
  <c r="E334" i="35" s="1"/>
  <c r="F334" i="35" s="1"/>
  <c r="B335" i="35" s="1"/>
  <c r="C302" i="30"/>
  <c r="D302" i="30"/>
  <c r="F57" i="2"/>
  <c r="F58" i="2" s="1"/>
  <c r="C56" i="2"/>
  <c r="D56" i="2"/>
  <c r="E57" i="2" s="1"/>
  <c r="E58" i="2" s="1"/>
  <c r="C335" i="35" l="1"/>
  <c r="D335" i="35"/>
  <c r="E302" i="30"/>
  <c r="F302" i="30" s="1"/>
  <c r="B303" i="30" s="1"/>
  <c r="D57" i="2"/>
  <c r="D58" i="2" s="1"/>
  <c r="E335" i="35" l="1"/>
  <c r="F335" i="35" s="1"/>
  <c r="B336" i="35" s="1"/>
  <c r="C303" i="30"/>
  <c r="D303" i="30"/>
  <c r="E303" i="30" l="1"/>
  <c r="F303" i="30" s="1"/>
  <c r="B304" i="30" s="1"/>
  <c r="D336" i="35"/>
  <c r="C336" i="35"/>
  <c r="E336" i="35" s="1"/>
  <c r="F336" i="35" s="1"/>
  <c r="B337" i="35" s="1"/>
  <c r="C304" i="30"/>
  <c r="D304" i="30"/>
  <c r="E304" i="30" l="1"/>
  <c r="F304" i="30" s="1"/>
  <c r="B305" i="30" s="1"/>
  <c r="D337" i="35"/>
  <c r="C337" i="35"/>
  <c r="E337" i="35" s="1"/>
  <c r="F337" i="35" s="1"/>
  <c r="B338" i="35" s="1"/>
  <c r="C305" i="30"/>
  <c r="D305" i="30"/>
  <c r="E305" i="30" l="1"/>
  <c r="F305" i="30" s="1"/>
  <c r="B306" i="30" s="1"/>
  <c r="D338" i="35"/>
  <c r="C338" i="35"/>
  <c r="E338" i="35" s="1"/>
  <c r="F338" i="35" s="1"/>
  <c r="B339" i="35" s="1"/>
  <c r="C306" i="30"/>
  <c r="D306" i="30"/>
  <c r="E306" i="30" l="1"/>
  <c r="F306" i="30" s="1"/>
  <c r="B307" i="30" s="1"/>
  <c r="D339" i="35"/>
  <c r="C339" i="35"/>
  <c r="E339" i="35" s="1"/>
  <c r="F339" i="35" s="1"/>
  <c r="B340" i="35" s="1"/>
  <c r="D307" i="30"/>
  <c r="C307" i="30"/>
  <c r="D340" i="35" l="1"/>
  <c r="C340" i="35"/>
  <c r="E340" i="35" s="1"/>
  <c r="F340" i="35" s="1"/>
  <c r="B341" i="35" s="1"/>
  <c r="E307" i="30"/>
  <c r="F307" i="30" s="1"/>
  <c r="B308" i="30" s="1"/>
  <c r="D341" i="35" l="1"/>
  <c r="C341" i="35"/>
  <c r="E341" i="35" s="1"/>
  <c r="F341" i="35" s="1"/>
  <c r="B342" i="35" s="1"/>
  <c r="C308" i="30"/>
  <c r="D308" i="30"/>
  <c r="E308" i="30" s="1"/>
  <c r="F308" i="30" s="1"/>
  <c r="B309" i="30" s="1"/>
  <c r="D342" i="35" l="1"/>
  <c r="C342" i="35"/>
  <c r="E342" i="35" s="1"/>
  <c r="F342" i="35" s="1"/>
  <c r="B343" i="35" s="1"/>
  <c r="D309" i="30"/>
  <c r="C309" i="30"/>
  <c r="E309" i="30" s="1"/>
  <c r="F309" i="30" s="1"/>
  <c r="B310" i="30" s="1"/>
  <c r="D343" i="35" l="1"/>
  <c r="C343" i="35"/>
  <c r="E343" i="35" s="1"/>
  <c r="F343" i="35" s="1"/>
  <c r="B344" i="35" s="1"/>
  <c r="C310" i="30"/>
  <c r="D310" i="30"/>
  <c r="D344" i="35" l="1"/>
  <c r="C344" i="35"/>
  <c r="E344" i="35" s="1"/>
  <c r="F344" i="35" s="1"/>
  <c r="B345" i="35" s="1"/>
  <c r="E310" i="30"/>
  <c r="F310" i="30" s="1"/>
  <c r="B311" i="30" s="1"/>
  <c r="D345" i="35" l="1"/>
  <c r="C345" i="35"/>
  <c r="E345" i="35" s="1"/>
  <c r="F345" i="35" s="1"/>
  <c r="B346" i="35" s="1"/>
  <c r="C311" i="30"/>
  <c r="D311" i="30"/>
  <c r="D346" i="35" l="1"/>
  <c r="C346" i="35"/>
  <c r="E346" i="35" s="1"/>
  <c r="F346" i="35" s="1"/>
  <c r="B347" i="35" s="1"/>
  <c r="E311" i="30"/>
  <c r="F311" i="30" s="1"/>
  <c r="B312" i="30" s="1"/>
  <c r="D347" i="35" l="1"/>
  <c r="C347" i="35"/>
  <c r="E347" i="35" s="1"/>
  <c r="F347" i="35" s="1"/>
  <c r="B348" i="35" s="1"/>
  <c r="D312" i="30"/>
  <c r="C312" i="30"/>
  <c r="D348" i="35" l="1"/>
  <c r="C348" i="35"/>
  <c r="E348" i="35" s="1"/>
  <c r="F348" i="35" s="1"/>
  <c r="B349" i="35" s="1"/>
  <c r="E312" i="30"/>
  <c r="F312" i="30" s="1"/>
  <c r="B313" i="30" s="1"/>
  <c r="D349" i="35" l="1"/>
  <c r="C349" i="35"/>
  <c r="E349" i="35" s="1"/>
  <c r="F349" i="35" s="1"/>
  <c r="B350" i="35" s="1"/>
  <c r="D313" i="30"/>
  <c r="C313" i="30"/>
  <c r="D350" i="35" l="1"/>
  <c r="C350" i="35"/>
  <c r="E350" i="35" s="1"/>
  <c r="F350" i="35" s="1"/>
  <c r="B351" i="35" s="1"/>
  <c r="E313" i="30"/>
  <c r="F313" i="30" s="1"/>
  <c r="B314" i="30" s="1"/>
  <c r="D351" i="35" l="1"/>
  <c r="C351" i="35"/>
  <c r="E351" i="35" s="1"/>
  <c r="F351" i="35" s="1"/>
  <c r="B352" i="35" s="1"/>
  <c r="C314" i="30"/>
  <c r="D314" i="30"/>
  <c r="E314" i="30" l="1"/>
  <c r="F314" i="30" s="1"/>
  <c r="B315" i="30" s="1"/>
  <c r="D352" i="35"/>
  <c r="C352" i="35"/>
  <c r="E352" i="35" s="1"/>
  <c r="F352" i="35" s="1"/>
  <c r="B353" i="35" s="1"/>
  <c r="D315" i="30"/>
  <c r="C315" i="30"/>
  <c r="D353" i="35" l="1"/>
  <c r="C353" i="35"/>
  <c r="E353" i="35" s="1"/>
  <c r="F353" i="35" s="1"/>
  <c r="B354" i="35" s="1"/>
  <c r="E315" i="30"/>
  <c r="F315" i="30" s="1"/>
  <c r="B316" i="30" s="1"/>
  <c r="D354" i="35" l="1"/>
  <c r="C354" i="35"/>
  <c r="E354" i="35" s="1"/>
  <c r="F354" i="35" s="1"/>
  <c r="B355" i="35" s="1"/>
  <c r="C316" i="30"/>
  <c r="D316" i="30"/>
  <c r="E316" i="30" l="1"/>
  <c r="F316" i="30" s="1"/>
  <c r="B317" i="30" s="1"/>
  <c r="D355" i="35"/>
  <c r="C355" i="35"/>
  <c r="E355" i="35" s="1"/>
  <c r="F355" i="35" s="1"/>
  <c r="B356" i="35" s="1"/>
  <c r="D317" i="30"/>
  <c r="C317" i="30"/>
  <c r="D356" i="35" l="1"/>
  <c r="C356" i="35"/>
  <c r="E356" i="35" s="1"/>
  <c r="F356" i="35" s="1"/>
  <c r="B357" i="35" s="1"/>
  <c r="E317" i="30"/>
  <c r="F317" i="30" s="1"/>
  <c r="B318" i="30" s="1"/>
  <c r="D357" i="35" l="1"/>
  <c r="C357" i="35"/>
  <c r="E357" i="35" s="1"/>
  <c r="F357" i="35" s="1"/>
  <c r="B358" i="35" s="1"/>
  <c r="C318" i="30"/>
  <c r="D318" i="30"/>
  <c r="E318" i="30" l="1"/>
  <c r="F318" i="30" s="1"/>
  <c r="B319" i="30" s="1"/>
  <c r="D358" i="35"/>
  <c r="C358" i="35"/>
  <c r="E358" i="35" s="1"/>
  <c r="F358" i="35" s="1"/>
  <c r="B359" i="35" s="1"/>
  <c r="C319" i="30"/>
  <c r="D319" i="30"/>
  <c r="E319" i="30" s="1"/>
  <c r="F319" i="30" s="1"/>
  <c r="B320" i="30" s="1"/>
  <c r="D359" i="35" l="1"/>
  <c r="C359" i="35"/>
  <c r="E359" i="35" s="1"/>
  <c r="F359" i="35" s="1"/>
  <c r="B360" i="35" s="1"/>
  <c r="C320" i="30"/>
  <c r="D320" i="30"/>
  <c r="E320" i="30" s="1"/>
  <c r="F320" i="30" s="1"/>
  <c r="B321" i="30" s="1"/>
  <c r="D360" i="35" l="1"/>
  <c r="C360" i="35"/>
  <c r="E360" i="35" s="1"/>
  <c r="F360" i="35" s="1"/>
  <c r="B361" i="35" s="1"/>
  <c r="C321" i="30"/>
  <c r="D321" i="30"/>
  <c r="E321" i="30" l="1"/>
  <c r="F321" i="30" s="1"/>
  <c r="B322" i="30" s="1"/>
  <c r="D361" i="35"/>
  <c r="C361" i="35"/>
  <c r="E361" i="35" s="1"/>
  <c r="F361" i="35" s="1"/>
  <c r="B362" i="35" s="1"/>
  <c r="C322" i="30"/>
  <c r="D322" i="30"/>
  <c r="D362" i="35" l="1"/>
  <c r="C362" i="35"/>
  <c r="E362" i="35" s="1"/>
  <c r="F362" i="35" s="1"/>
  <c r="B363" i="35" s="1"/>
  <c r="E322" i="30"/>
  <c r="F322" i="30" s="1"/>
  <c r="B323" i="30" s="1"/>
  <c r="D363" i="35" l="1"/>
  <c r="C363" i="35"/>
  <c r="E363" i="35" s="1"/>
  <c r="F363" i="35" s="1"/>
  <c r="B364" i="35" s="1"/>
  <c r="C323" i="30"/>
  <c r="D323" i="30"/>
  <c r="E323" i="30" s="1"/>
  <c r="F323" i="30" s="1"/>
  <c r="B324" i="30" s="1"/>
  <c r="D364" i="35" l="1"/>
  <c r="C364" i="35"/>
  <c r="E364" i="35" s="1"/>
  <c r="F364" i="35" s="1"/>
  <c r="B365" i="35" s="1"/>
  <c r="D324" i="30"/>
  <c r="C324" i="30"/>
  <c r="D365" i="35" l="1"/>
  <c r="C365" i="35"/>
  <c r="E365" i="35" s="1"/>
  <c r="F365" i="35" s="1"/>
  <c r="B366" i="35" s="1"/>
  <c r="E324" i="30"/>
  <c r="F324" i="30" s="1"/>
  <c r="B325" i="30" s="1"/>
  <c r="D366" i="35" l="1"/>
  <c r="C366" i="35"/>
  <c r="E366" i="35" s="1"/>
  <c r="F366" i="35" s="1"/>
  <c r="B367" i="35" s="1"/>
  <c r="C325" i="30"/>
  <c r="D325" i="30"/>
  <c r="D367" i="35" l="1"/>
  <c r="C367" i="35"/>
  <c r="E367" i="35" s="1"/>
  <c r="F367" i="35" s="1"/>
  <c r="B368" i="35" s="1"/>
  <c r="E325" i="30"/>
  <c r="F325" i="30" s="1"/>
  <c r="B326" i="30" s="1"/>
  <c r="D368" i="35" l="1"/>
  <c r="C368" i="35"/>
  <c r="E368" i="35" s="1"/>
  <c r="F368" i="35" s="1"/>
  <c r="B369" i="35" s="1"/>
  <c r="C326" i="30"/>
  <c r="D326" i="30"/>
  <c r="E326" i="30" l="1"/>
  <c r="F326" i="30" s="1"/>
  <c r="B327" i="30" s="1"/>
  <c r="D369" i="35"/>
  <c r="C369" i="35"/>
  <c r="E369" i="35" s="1"/>
  <c r="F369" i="35" s="1"/>
  <c r="B370" i="35" s="1"/>
  <c r="C327" i="30"/>
  <c r="D327" i="30"/>
  <c r="E327" i="30" l="1"/>
  <c r="F327" i="30" s="1"/>
  <c r="B328" i="30" s="1"/>
  <c r="D370" i="35"/>
  <c r="C370" i="35"/>
  <c r="E370" i="35" s="1"/>
  <c r="F370" i="35" s="1"/>
  <c r="B371" i="35" s="1"/>
  <c r="C328" i="30"/>
  <c r="D328" i="30"/>
  <c r="E328" i="30" l="1"/>
  <c r="F328" i="30" s="1"/>
  <c r="B329" i="30" s="1"/>
  <c r="D371" i="35"/>
  <c r="C371" i="35"/>
  <c r="E371" i="35" s="1"/>
  <c r="F371" i="35" s="1"/>
  <c r="B372" i="35" s="1"/>
  <c r="C329" i="30"/>
  <c r="D329" i="30"/>
  <c r="E329" i="30" s="1"/>
  <c r="F329" i="30" s="1"/>
  <c r="B330" i="30" s="1"/>
  <c r="D372" i="35" l="1"/>
  <c r="C372" i="35"/>
  <c r="E372" i="35" s="1"/>
  <c r="F372" i="35" s="1"/>
  <c r="B373" i="35" s="1"/>
  <c r="C330" i="30"/>
  <c r="D330" i="30"/>
  <c r="E330" i="30" s="1"/>
  <c r="F330" i="30" s="1"/>
  <c r="B331" i="30" s="1"/>
  <c r="D373" i="35" l="1"/>
  <c r="C373" i="35"/>
  <c r="E373" i="35" s="1"/>
  <c r="F373" i="35" s="1"/>
  <c r="B374" i="35" s="1"/>
  <c r="C331" i="30"/>
  <c r="D331" i="30"/>
  <c r="E331" i="30" l="1"/>
  <c r="F331" i="30" s="1"/>
  <c r="B332" i="30" s="1"/>
  <c r="D374" i="35"/>
  <c r="C374" i="35"/>
  <c r="E374" i="35" s="1"/>
  <c r="F374" i="35" s="1"/>
  <c r="B375" i="35" s="1"/>
  <c r="C332" i="30"/>
  <c r="D332" i="30"/>
  <c r="E332" i="30" l="1"/>
  <c r="F332" i="30" s="1"/>
  <c r="B333" i="30" s="1"/>
  <c r="D375" i="35"/>
  <c r="C375" i="35"/>
  <c r="E375" i="35" s="1"/>
  <c r="F375" i="35" s="1"/>
  <c r="B376" i="35" s="1"/>
  <c r="C333" i="30"/>
  <c r="D333" i="30"/>
  <c r="E333" i="30" l="1"/>
  <c r="F333" i="30" s="1"/>
  <c r="B334" i="30" s="1"/>
  <c r="D376" i="35"/>
  <c r="C376" i="35"/>
  <c r="E376" i="35" s="1"/>
  <c r="F376" i="35" s="1"/>
  <c r="B377" i="35" s="1"/>
  <c r="C334" i="30"/>
  <c r="D334" i="30"/>
  <c r="E334" i="30" l="1"/>
  <c r="F334" i="30" s="1"/>
  <c r="B335" i="30" s="1"/>
  <c r="D377" i="35"/>
  <c r="C377" i="35"/>
  <c r="E377" i="35" s="1"/>
  <c r="F377" i="35" s="1"/>
  <c r="C335" i="30"/>
  <c r="D335" i="30"/>
  <c r="E335" i="30" s="1"/>
  <c r="F335" i="30" s="1"/>
  <c r="B336" i="30" s="1"/>
  <c r="C336" i="30" l="1"/>
  <c r="D336" i="30"/>
  <c r="E336" i="30" l="1"/>
  <c r="F336" i="30" s="1"/>
  <c r="B337" i="30" s="1"/>
  <c r="D337" i="30"/>
  <c r="C337" i="30"/>
  <c r="E337" i="30" l="1"/>
  <c r="F337" i="30" s="1"/>
  <c r="B338" i="30" s="1"/>
  <c r="C338" i="30" l="1"/>
  <c r="D338" i="30"/>
  <c r="E338" i="30" l="1"/>
  <c r="F338" i="30" s="1"/>
  <c r="B339" i="30" s="1"/>
  <c r="C339" i="30"/>
  <c r="D339" i="30"/>
  <c r="E339" i="30" l="1"/>
  <c r="F339" i="30" s="1"/>
  <c r="B340" i="30" s="1"/>
  <c r="C340" i="30" l="1"/>
  <c r="D340" i="30"/>
  <c r="E340" i="30" l="1"/>
  <c r="F340" i="30" s="1"/>
  <c r="B341" i="30" s="1"/>
  <c r="D341" i="30"/>
  <c r="C341" i="30"/>
  <c r="E341" i="30" l="1"/>
  <c r="F341" i="30" s="1"/>
  <c r="B342" i="30" s="1"/>
  <c r="C342" i="30" l="1"/>
  <c r="D342" i="30"/>
  <c r="E342" i="30" s="1"/>
  <c r="F342" i="30" s="1"/>
  <c r="B343" i="30" s="1"/>
  <c r="D343" i="30" l="1"/>
  <c r="C343" i="30"/>
  <c r="E343" i="30" l="1"/>
  <c r="F343" i="30" s="1"/>
  <c r="B344" i="30" s="1"/>
  <c r="C344" i="30"/>
  <c r="D344" i="30"/>
  <c r="E344" i="30" l="1"/>
  <c r="F344" i="30" s="1"/>
  <c r="B345" i="30" s="1"/>
  <c r="C345" i="30" l="1"/>
  <c r="D345" i="30"/>
  <c r="E345" i="30" l="1"/>
  <c r="F345" i="30" s="1"/>
  <c r="B346" i="30" s="1"/>
  <c r="C346" i="30"/>
  <c r="D346" i="30"/>
  <c r="E346" i="30" s="1"/>
  <c r="F346" i="30" s="1"/>
  <c r="B347" i="30" s="1"/>
  <c r="C347" i="30" l="1"/>
  <c r="D347" i="30"/>
  <c r="E347" i="30" s="1"/>
  <c r="F347" i="30" s="1"/>
  <c r="B348" i="30" s="1"/>
  <c r="C348" i="30" l="1"/>
  <c r="D348" i="30"/>
  <c r="E348" i="30" l="1"/>
  <c r="F348" i="30" s="1"/>
  <c r="B349" i="30" s="1"/>
  <c r="C349" i="30"/>
  <c r="D349" i="30"/>
  <c r="E349" i="30" l="1"/>
  <c r="F349" i="30" s="1"/>
  <c r="B350" i="30" s="1"/>
  <c r="C350" i="30"/>
  <c r="D350" i="30"/>
  <c r="E350" i="30" l="1"/>
  <c r="F350" i="30" s="1"/>
  <c r="B351" i="30" s="1"/>
  <c r="C351" i="30" l="1"/>
  <c r="D351" i="30"/>
  <c r="E351" i="30" l="1"/>
  <c r="F351" i="30" s="1"/>
  <c r="B352" i="30" s="1"/>
  <c r="D352" i="30" s="1"/>
  <c r="C352" i="30"/>
  <c r="E352" i="30" l="1"/>
  <c r="F352" i="30" s="1"/>
  <c r="B353" i="30" s="1"/>
  <c r="C353" i="30" l="1"/>
  <c r="D353" i="30"/>
  <c r="E353" i="30" l="1"/>
  <c r="F353" i="30" s="1"/>
  <c r="B354" i="30" s="1"/>
  <c r="C354" i="30" l="1"/>
  <c r="D354" i="30"/>
  <c r="E354" i="30" l="1"/>
  <c r="F354" i="30" s="1"/>
  <c r="B355" i="30" s="1"/>
  <c r="D355" i="30" s="1"/>
  <c r="C355" i="30"/>
  <c r="E355" i="30" l="1"/>
  <c r="F355" i="30" s="1"/>
  <c r="B356" i="30" s="1"/>
  <c r="D356" i="30" l="1"/>
  <c r="C356" i="30"/>
  <c r="E356" i="30" l="1"/>
  <c r="F356" i="30" s="1"/>
  <c r="B357" i="30" s="1"/>
  <c r="C357" i="30" l="1"/>
  <c r="D357" i="30"/>
  <c r="E357" i="30" l="1"/>
  <c r="F357" i="30" s="1"/>
  <c r="B358" i="30" s="1"/>
  <c r="C358" i="30" l="1"/>
  <c r="D358" i="30"/>
  <c r="E358" i="30" s="1"/>
  <c r="F358" i="30" s="1"/>
  <c r="B359" i="30" s="1"/>
  <c r="C359" i="30" l="1"/>
  <c r="D359" i="30"/>
  <c r="E359" i="30" l="1"/>
  <c r="F359" i="30" s="1"/>
  <c r="B360" i="30" s="1"/>
  <c r="C360" i="30"/>
  <c r="D360" i="30"/>
  <c r="E360" i="30" l="1"/>
  <c r="F360" i="30" s="1"/>
  <c r="B361" i="30" s="1"/>
  <c r="C361" i="30"/>
  <c r="D361" i="30"/>
  <c r="E361" i="30" l="1"/>
  <c r="F361" i="30" s="1"/>
  <c r="B362" i="30" s="1"/>
  <c r="C362" i="30"/>
  <c r="D362" i="30"/>
  <c r="E362" i="30" l="1"/>
  <c r="F362" i="30" s="1"/>
  <c r="B363" i="30" s="1"/>
  <c r="C363" i="30"/>
  <c r="D363" i="30"/>
  <c r="E363" i="30" l="1"/>
  <c r="F363" i="30" s="1"/>
  <c r="B364" i="30" s="1"/>
  <c r="C364" i="30" l="1"/>
  <c r="D364" i="30"/>
  <c r="E364" i="30" l="1"/>
  <c r="F364" i="30" s="1"/>
  <c r="B365" i="30" s="1"/>
  <c r="C365" i="30" l="1"/>
  <c r="D365" i="30"/>
  <c r="E365" i="30" l="1"/>
  <c r="F365" i="30" s="1"/>
  <c r="B366" i="30" s="1"/>
  <c r="C366" i="30" l="1"/>
  <c r="D366" i="30"/>
  <c r="E366" i="30" l="1"/>
  <c r="F366" i="30" s="1"/>
  <c r="B367" i="30" s="1"/>
  <c r="C367" i="30"/>
  <c r="D367" i="30"/>
  <c r="E367" i="30" l="1"/>
  <c r="F367" i="30" s="1"/>
  <c r="B368" i="30" s="1"/>
  <c r="D368" i="30" s="1"/>
  <c r="C368" i="30"/>
  <c r="E368" i="30" l="1"/>
  <c r="F368" i="30" s="1"/>
  <c r="B369" i="30" s="1"/>
  <c r="C369" i="30" l="1"/>
  <c r="D369" i="30"/>
  <c r="E369" i="30" l="1"/>
  <c r="F369" i="30" s="1"/>
  <c r="B370" i="30" s="1"/>
  <c r="C370" i="30"/>
  <c r="D370" i="30"/>
  <c r="E370" i="30" l="1"/>
  <c r="F370" i="30" s="1"/>
  <c r="B371" i="30" s="1"/>
  <c r="C371" i="30" s="1"/>
  <c r="D371" i="30" l="1"/>
  <c r="E371" i="30" s="1"/>
  <c r="F371" i="30" s="1"/>
  <c r="B372" i="30" s="1"/>
  <c r="D372" i="30" s="1"/>
  <c r="C372" i="30" l="1"/>
  <c r="E372" i="30" s="1"/>
  <c r="F372" i="30" s="1"/>
  <c r="B373" i="30" s="1"/>
  <c r="C373" i="30" l="1"/>
  <c r="D373" i="30"/>
  <c r="E373" i="30" l="1"/>
  <c r="F373" i="30" s="1"/>
  <c r="B374" i="30" s="1"/>
  <c r="C374" i="30"/>
  <c r="D374" i="30"/>
  <c r="E374" i="30" l="1"/>
  <c r="F374" i="30" s="1"/>
  <c r="B375" i="30" s="1"/>
  <c r="C375" i="30"/>
  <c r="D375" i="30"/>
  <c r="E375" i="30" s="1"/>
  <c r="F375" i="30" s="1"/>
  <c r="B376" i="30" s="1"/>
  <c r="C376" i="30" l="1"/>
  <c r="D376" i="30"/>
  <c r="E376" i="30" l="1"/>
  <c r="F376" i="30" s="1"/>
  <c r="B377" i="30" s="1"/>
  <c r="C377" i="30"/>
  <c r="D377" i="30"/>
  <c r="E377" i="30" l="1"/>
  <c r="F377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Scio-Taco-K2</author>
  </authors>
  <commentList>
    <comment ref="B1" authorId="0" shapeId="0" xr:uid="{5B23F421-A024-9844-9BAE-E0CA457E1921}">
      <text>
        <r>
          <rPr>
            <sz val="10"/>
            <color rgb="FF000000"/>
            <rFont val="Tahoma"/>
            <family val="2"/>
          </rPr>
          <t xml:space="preserve">Tu mets ici ton nom et si tu as un.e conjoint.e tu peux l'ajouter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Scio-Taco-K2</author>
  </authors>
  <commentList>
    <comment ref="A1" authorId="0" shapeId="0" xr:uid="{1ABA77EF-43D7-6347-BFF1-0F703A2AF433}">
      <text>
        <r>
          <rPr>
            <sz val="10"/>
            <color rgb="FF000000"/>
            <rFont val="Tahoma"/>
            <family val="2"/>
          </rPr>
          <t>Si tu as des assurances de personnes c'est ici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Scio-Taco-K2</author>
  </authors>
  <commentList>
    <comment ref="A1" authorId="0" shapeId="0" xr:uid="{CDA9A88E-83F3-5049-AD28-ECB775E9CE3D}">
      <text>
        <r>
          <rPr>
            <sz val="10"/>
            <color rgb="FF000000"/>
            <rFont val="Tahoma"/>
            <family val="2"/>
          </rPr>
          <t>Ici tu peux mettre toutes les assurances que tu dois payer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Scio-Taco-K2</author>
  </authors>
  <commentList>
    <comment ref="A14" authorId="0" shapeId="0" xr:uid="{B3356E94-E2D5-694D-8B8D-8FE327463921}">
      <text>
        <r>
          <rPr>
            <sz val="10"/>
            <color rgb="FF000000"/>
            <rFont val="Tahoma"/>
            <family val="2"/>
          </rPr>
          <t xml:space="preserve">Ici le % est le nombre d'argent à mettre selon ton revenu. Par contre, certains seront plus élevés et d'autres non, tu dois avoir un équilibre.
</t>
        </r>
        <r>
          <rPr>
            <sz val="10"/>
            <color rgb="FF000000"/>
            <rFont val="Tahoma"/>
            <family val="2"/>
          </rPr>
          <t xml:space="preserve">Par exemple, si tu habites à Montréal, les transports seront plus bas et la résidende plus élevée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Marc-Etienne Legault Salvail</author>
  </authors>
  <commentList>
    <comment ref="C6" authorId="0" shapeId="0" xr:uid="{093C51B9-5646-47AE-B781-A66B2A4855B0}">
      <text>
        <r>
          <rPr>
            <b/>
            <sz val="9"/>
            <color indexed="81"/>
            <rFont val="Tahoma"/>
            <family val="2"/>
          </rPr>
          <t>Marc-Etienne Legault Salvail:</t>
        </r>
        <r>
          <rPr>
            <sz val="9"/>
            <color indexed="81"/>
            <rFont val="Tahoma"/>
            <family val="2"/>
          </rPr>
          <t xml:space="preserve">
Cependant, si je dois payer un montant d'impôt, je dois prendre en considération un montant versé en dividende ou salaire pour payer ce montant ? Si le cas, comment prendre en compte ce montant ?</t>
        </r>
      </text>
    </comment>
  </commentList>
</comments>
</file>

<file path=xl/sharedStrings.xml><?xml version="1.0" encoding="utf-8"?>
<sst xmlns="http://schemas.openxmlformats.org/spreadsheetml/2006/main" count="1031" uniqueCount="560">
  <si>
    <t>Enfant(s)</t>
  </si>
  <si>
    <t>Prenom Nom</t>
  </si>
  <si>
    <t>Fiscaliste</t>
  </si>
  <si>
    <t>Compagnie de facturation</t>
  </si>
  <si>
    <t>Notaire</t>
  </si>
  <si>
    <t>Conseiller autre(s)</t>
  </si>
  <si>
    <t>Avocat</t>
  </si>
  <si>
    <t>Spécialité</t>
  </si>
  <si>
    <t>Lieu de pratique</t>
  </si>
  <si>
    <t>Testament</t>
  </si>
  <si>
    <t>Mandat en cas d'inaptitude</t>
  </si>
  <si>
    <t>Employeur</t>
  </si>
  <si>
    <t>Emploi</t>
  </si>
  <si>
    <t>Salaires/ revenus</t>
  </si>
  <si>
    <t>Autres revenus</t>
  </si>
  <si>
    <t>Droit cotisation CELI</t>
  </si>
  <si>
    <t>Droit cotisation REER</t>
  </si>
  <si>
    <r>
      <rPr>
        <b/>
        <sz val="11"/>
        <color theme="1"/>
        <rFont val="Calibri"/>
        <family val="2"/>
      </rPr>
      <t>Actifs</t>
    </r>
  </si>
  <si>
    <t>Actifs</t>
  </si>
  <si>
    <t>Encaisse BNC</t>
  </si>
  <si>
    <t>Total liquidité</t>
  </si>
  <si>
    <t>Épargnes et placements</t>
  </si>
  <si>
    <t>Fonds pension</t>
  </si>
  <si>
    <t>Total épargnes et placements</t>
  </si>
  <si>
    <t>Immobilisations</t>
  </si>
  <si>
    <t>Maison</t>
  </si>
  <si>
    <t>Total immobilisations</t>
  </si>
  <si>
    <t>Capitaux propres</t>
  </si>
  <si>
    <t>Total capitaux propres</t>
  </si>
  <si>
    <t>Autres actifs</t>
  </si>
  <si>
    <t>Voiture</t>
  </si>
  <si>
    <t>Total autres actifs</t>
  </si>
  <si>
    <t>Total actifs</t>
  </si>
  <si>
    <t>Passif</t>
  </si>
  <si>
    <t>Carte crédit</t>
  </si>
  <si>
    <t>Prêt AFE</t>
  </si>
  <si>
    <t>Total dettes à long terme</t>
  </si>
  <si>
    <t>Total passifs</t>
  </si>
  <si>
    <t>Valeur nette</t>
  </si>
  <si>
    <t>Progression $</t>
  </si>
  <si>
    <t>Progression %</t>
  </si>
  <si>
    <t>NOTES :</t>
  </si>
  <si>
    <t>BIENS IMMOBILIERS</t>
  </si>
  <si>
    <t>Nom de l'emprunteur</t>
  </si>
  <si>
    <t>Total</t>
  </si>
  <si>
    <r>
      <t xml:space="preserve">* </t>
    </r>
    <r>
      <rPr>
        <sz val="9"/>
        <rFont val="Gill Sans"/>
        <family val="2"/>
      </rPr>
      <t>Numéro municipal</t>
    </r>
  </si>
  <si>
    <t>834-842</t>
  </si>
  <si>
    <t xml:space="preserve">1083-1087 </t>
  </si>
  <si>
    <t>1020-1026</t>
  </si>
  <si>
    <t>870-874</t>
  </si>
  <si>
    <t>541</t>
  </si>
  <si>
    <t>876-880</t>
  </si>
  <si>
    <t>1404-1406</t>
  </si>
  <si>
    <r>
      <t>*</t>
    </r>
    <r>
      <rPr>
        <sz val="9"/>
        <rFont val="Gill Sans"/>
        <family val="2"/>
      </rPr>
      <t xml:space="preserve"> Nom de la rue</t>
    </r>
  </si>
  <si>
    <r>
      <t>*</t>
    </r>
    <r>
      <rPr>
        <sz val="9"/>
        <rFont val="Gill Sans"/>
        <family val="2"/>
      </rPr>
      <t xml:space="preserve"> Municipalité</t>
    </r>
  </si>
  <si>
    <r>
      <t xml:space="preserve">* </t>
    </r>
    <r>
      <rPr>
        <sz val="9"/>
        <rFont val="Gill Sans"/>
        <family val="2"/>
      </rPr>
      <t>Province</t>
    </r>
  </si>
  <si>
    <r>
      <t>*</t>
    </r>
    <r>
      <rPr>
        <sz val="9"/>
        <rFont val="Gill Sans"/>
        <family val="2"/>
      </rPr>
      <t xml:space="preserve"> Nombre de logements</t>
    </r>
  </si>
  <si>
    <r>
      <t xml:space="preserve">Date d'achat </t>
    </r>
    <r>
      <rPr>
        <sz val="8"/>
        <rFont val="Gill Sans"/>
        <family val="2"/>
      </rPr>
      <t>(mm-jj-aaaa)</t>
    </r>
  </si>
  <si>
    <t>1999-09-01</t>
  </si>
  <si>
    <t>2008-08-01</t>
  </si>
  <si>
    <t>2003-08-01</t>
  </si>
  <si>
    <t>2008-04-04</t>
  </si>
  <si>
    <t>2012-07-01</t>
  </si>
  <si>
    <t>2014-10-03</t>
  </si>
  <si>
    <t>3 juin 2015</t>
  </si>
  <si>
    <t>Prix d'achat terrain+immeuble</t>
  </si>
  <si>
    <t>Prix d'achat terrain</t>
  </si>
  <si>
    <t>Prix achat immeuble</t>
  </si>
  <si>
    <t>FNACC immeuble</t>
  </si>
  <si>
    <t>Récupération amortissement</t>
  </si>
  <si>
    <t>* Revenus résidentiels au 1er Juilet</t>
  </si>
  <si>
    <t>Revenu brut effectif</t>
  </si>
  <si>
    <t>Dépenses d'exploitation</t>
  </si>
  <si>
    <t xml:space="preserve">   Taxe municipale</t>
  </si>
  <si>
    <t xml:space="preserve">   Taxe scolaire</t>
  </si>
  <si>
    <r>
      <t xml:space="preserve">  </t>
    </r>
    <r>
      <rPr>
        <sz val="9"/>
        <color indexed="10"/>
        <rFont val="Gill Sans"/>
        <family val="2"/>
      </rPr>
      <t xml:space="preserve"> </t>
    </r>
    <r>
      <rPr>
        <sz val="9"/>
        <rFont val="Gill Sans"/>
        <family val="2"/>
      </rPr>
      <t>Assurance</t>
    </r>
  </si>
  <si>
    <r>
      <t xml:space="preserve">  </t>
    </r>
    <r>
      <rPr>
        <sz val="9"/>
        <color indexed="10"/>
        <rFont val="Gill Sans"/>
        <family val="2"/>
      </rPr>
      <t xml:space="preserve"> </t>
    </r>
    <r>
      <rPr>
        <sz val="9"/>
        <rFont val="Gill Sans"/>
        <family val="2"/>
      </rPr>
      <t>Services publics (Énergie &amp; Gaz)</t>
    </r>
  </si>
  <si>
    <t xml:space="preserve">   Réparations et entretien</t>
  </si>
  <si>
    <t xml:space="preserve">   Salaires</t>
  </si>
  <si>
    <t xml:space="preserve">   Gestion</t>
  </si>
  <si>
    <t xml:space="preserve">   Divers</t>
  </si>
  <si>
    <t xml:space="preserve">   Réserve de remplacement</t>
  </si>
  <si>
    <t>Revenu d'exploitation net</t>
  </si>
  <si>
    <t>Taux de capitalisation / Multiplicateur de revenu brut</t>
  </si>
  <si>
    <t>Valeur Estimée</t>
  </si>
  <si>
    <t>Institution prêteuse</t>
  </si>
  <si>
    <t>HSBC</t>
  </si>
  <si>
    <t>DESJARDINS</t>
  </si>
  <si>
    <t>BMO</t>
  </si>
  <si>
    <t>Solde du prêt 1</t>
  </si>
  <si>
    <t>Solde du prêt 2</t>
  </si>
  <si>
    <t>Solde du prêt 3</t>
  </si>
  <si>
    <t>Solde marge crédit hypothécaire</t>
  </si>
  <si>
    <t>Solde d'emprunt</t>
  </si>
  <si>
    <t>Avoir propre brute avant impôt</t>
  </si>
  <si>
    <t>Impot lattent</t>
  </si>
  <si>
    <t>Avoir propre net après impôt</t>
  </si>
  <si>
    <t>Rapport prêt-valeur</t>
  </si>
  <si>
    <t>Valeur au rôle d'évaluation</t>
  </si>
  <si>
    <t>Valeur du rapport d'évaluation</t>
  </si>
  <si>
    <t>Valeur du prêteur</t>
  </si>
  <si>
    <t>Versements hypothécaires annuels (P et I)</t>
  </si>
  <si>
    <t>Taux d'intérêt</t>
  </si>
  <si>
    <r>
      <t xml:space="preserve">Date de renouvellement </t>
    </r>
    <r>
      <rPr>
        <sz val="8"/>
        <rFont val="Gill Sans"/>
        <family val="2"/>
      </rPr>
      <t>(mm-jj-aaaa)</t>
    </r>
  </si>
  <si>
    <t>3 JANVIER 2022</t>
  </si>
  <si>
    <t>16 MARS 2021</t>
  </si>
  <si>
    <t>mars 2021</t>
  </si>
  <si>
    <t>28 FÉVRIER 2022</t>
  </si>
  <si>
    <r>
      <t xml:space="preserve">Période d'amortissement restante </t>
    </r>
    <r>
      <rPr>
        <sz val="8"/>
        <rFont val="Gill Sans"/>
        <family val="2"/>
      </rPr>
      <t>(mois)</t>
    </r>
  </si>
  <si>
    <t>Part de l'emprunteur en %</t>
  </si>
  <si>
    <t>Valeur de la part de l'emprunteur avant impôt</t>
  </si>
  <si>
    <t>Valeur de la part de l'emprunteur après impôt</t>
  </si>
  <si>
    <t>Hypothèses :</t>
  </si>
  <si>
    <t>Taux d'imposition</t>
  </si>
  <si>
    <t>Actuel</t>
  </si>
  <si>
    <t>Notes</t>
  </si>
  <si>
    <t>Assuré</t>
  </si>
  <si>
    <t>Cie</t>
  </si>
  <si>
    <t>Produit</t>
  </si>
  <si>
    <t>Vie</t>
  </si>
  <si>
    <t>Invalidité</t>
  </si>
  <si>
    <t>Maladie grave</t>
  </si>
  <si>
    <t>Prime mensuelle</t>
  </si>
  <si>
    <t>RBC</t>
  </si>
  <si>
    <t>LaCapitale</t>
  </si>
  <si>
    <t xml:space="preserve">Notes : </t>
  </si>
  <si>
    <t>Scénario 1</t>
  </si>
  <si>
    <t>Empire vie</t>
  </si>
  <si>
    <t>Notes :</t>
  </si>
  <si>
    <t>Base garantie</t>
  </si>
  <si>
    <t>Capital décès à 85 ans</t>
  </si>
  <si>
    <t>Total investi</t>
  </si>
  <si>
    <t>pessimiste</t>
  </si>
  <si>
    <t>standard</t>
  </si>
  <si>
    <t>fini de payé 20 ans participatif</t>
  </si>
  <si>
    <r>
      <t xml:space="preserve">A, </t>
    </r>
    <r>
      <rPr>
        <sz val="11"/>
        <color rgb="FFFF0000"/>
        <rFont val="Calibri"/>
        <family val="2"/>
        <scheme val="minor"/>
      </rPr>
      <t>Accidentel seulement</t>
    </r>
    <r>
      <rPr>
        <sz val="11"/>
        <rFont val="Calibri"/>
        <family val="2"/>
        <scheme val="minor"/>
      </rPr>
      <t>, nivelé 65 ans, 1800 $ 30 jours, 4200 $ 119 jours, définition invalidité total, profession habituelle,</t>
    </r>
  </si>
  <si>
    <r>
      <t xml:space="preserve">2A, </t>
    </r>
    <r>
      <rPr>
        <sz val="11"/>
        <color rgb="FFFF0000"/>
        <rFont val="Calibri"/>
        <family val="2"/>
        <scheme val="minor"/>
      </rPr>
      <t>Accidentel seulement</t>
    </r>
    <r>
      <rPr>
        <sz val="11"/>
        <rFont val="Calibri"/>
        <family val="2"/>
        <scheme val="minor"/>
      </rPr>
      <t>, nivelé 65 ans, prestation 65 ans, 90 jrs d'attente, profession habituelle, 1er jour en cas d'hospitalisation</t>
    </r>
  </si>
  <si>
    <r>
      <t xml:space="preserve">2A, </t>
    </r>
    <r>
      <rPr>
        <sz val="11"/>
        <color rgb="FFFF0000"/>
        <rFont val="Calibri"/>
        <family val="2"/>
        <scheme val="minor"/>
      </rPr>
      <t>Accidentel et maladie</t>
    </r>
    <r>
      <rPr>
        <sz val="11"/>
        <rFont val="Calibri"/>
        <family val="2"/>
        <scheme val="minor"/>
      </rPr>
      <t xml:space="preserve">, nivelé 65 ans, prestation 5 ans, 90 jrs d'attente, profession habituelle, partiel 6 mois, </t>
    </r>
    <r>
      <rPr>
        <b/>
        <sz val="11"/>
        <rFont val="Calibri"/>
        <family val="2"/>
        <scheme val="minor"/>
      </rPr>
      <t>1er jour en cas d'hospitalisation</t>
    </r>
  </si>
  <si>
    <t>2A, 90 jrs, prestation 5 ans, partielle 12 mois, prime nivelé, prestation garantie, rabais 15 %</t>
  </si>
  <si>
    <r>
      <t xml:space="preserve">2A, 90 jrs, prestation 5 ans, </t>
    </r>
    <r>
      <rPr>
        <b/>
        <sz val="11"/>
        <rFont val="Calibri"/>
        <family val="2"/>
        <scheme val="minor"/>
      </rPr>
      <t>résiduelle 65 ans</t>
    </r>
    <r>
      <rPr>
        <sz val="11"/>
        <rFont val="Calibri"/>
        <family val="2"/>
        <scheme val="minor"/>
      </rPr>
      <t>, prime nivelé, prestation garantie, rabais 15 %, contrat bon à vie</t>
    </r>
  </si>
  <si>
    <r>
      <t xml:space="preserve">2A, 90 jrs, prestation 5 ans, </t>
    </r>
    <r>
      <rPr>
        <b/>
        <sz val="11"/>
        <rFont val="Calibri"/>
        <family val="2"/>
        <scheme val="minor"/>
      </rPr>
      <t>résiduelle 65 ans</t>
    </r>
    <r>
      <rPr>
        <sz val="11"/>
        <rFont val="Calibri"/>
        <family val="2"/>
        <scheme val="minor"/>
      </rPr>
      <t xml:space="preserve">, prime nivelé, prestation garantie, </t>
    </r>
    <r>
      <rPr>
        <b/>
        <sz val="11"/>
        <rFont val="Calibri"/>
        <family val="2"/>
        <scheme val="minor"/>
      </rPr>
      <t>rabais 25 %</t>
    </r>
    <r>
      <rPr>
        <sz val="11"/>
        <rFont val="Calibri"/>
        <family val="2"/>
        <scheme val="minor"/>
      </rPr>
      <t>, contrat bon à vie</t>
    </r>
  </si>
  <si>
    <t>Humania</t>
  </si>
  <si>
    <t>Sécur+, 1er jour accident</t>
  </si>
  <si>
    <t>Aux deux semaines</t>
  </si>
  <si>
    <t>Mensuel</t>
  </si>
  <si>
    <t>Annuel</t>
  </si>
  <si>
    <t>%</t>
  </si>
  <si>
    <t>Entrées</t>
  </si>
  <si>
    <t>Revenu net</t>
  </si>
  <si>
    <t>Total des revenus</t>
  </si>
  <si>
    <t>Dépenses</t>
  </si>
  <si>
    <t>Résidence</t>
  </si>
  <si>
    <t>Loyer/ Hypothèque</t>
  </si>
  <si>
    <t>Hydro</t>
  </si>
  <si>
    <t>Internet/Télé</t>
  </si>
  <si>
    <t>Assurance loyer/maison</t>
  </si>
  <si>
    <t>Autres (frais de condo, taxes)</t>
  </si>
  <si>
    <t>Alimentation</t>
  </si>
  <si>
    <t>Épicerie</t>
  </si>
  <si>
    <t>Restaurant et soirée</t>
  </si>
  <si>
    <t>Alcool</t>
  </si>
  <si>
    <t>Déplacement</t>
  </si>
  <si>
    <t>Transport (Essence)</t>
  </si>
  <si>
    <t>Paiement voiture</t>
  </si>
  <si>
    <t>Assurance auto</t>
  </si>
  <si>
    <t>Santé</t>
  </si>
  <si>
    <t xml:space="preserve">Dentiste </t>
  </si>
  <si>
    <t xml:space="preserve">Optométriste </t>
  </si>
  <si>
    <t>Pharmacie</t>
  </si>
  <si>
    <t>Loisirs/Divers/Sports/Gym</t>
  </si>
  <si>
    <t xml:space="preserve">Autres </t>
  </si>
  <si>
    <t>Cellulaire</t>
  </si>
  <si>
    <t>Esthéticienne/ Coiffeur</t>
  </si>
  <si>
    <t>Cotisation du conjoint</t>
  </si>
  <si>
    <t>Garderie</t>
  </si>
  <si>
    <t>Animaux</t>
  </si>
  <si>
    <t>Entretiens ménager</t>
  </si>
  <si>
    <t>Gestion de crédit</t>
  </si>
  <si>
    <t>Remboursement crédit</t>
  </si>
  <si>
    <t>Épargne et assurances</t>
  </si>
  <si>
    <t>Assurances de personne</t>
  </si>
  <si>
    <t>Assurance de personne</t>
  </si>
  <si>
    <t>Épargne</t>
  </si>
  <si>
    <t>CELI</t>
  </si>
  <si>
    <t>REER</t>
  </si>
  <si>
    <t>Autres (CRI, REEE, FERR, REER CJT)</t>
  </si>
  <si>
    <t>Autres</t>
  </si>
  <si>
    <t>Compte court-terme</t>
  </si>
  <si>
    <t>Cadeaux</t>
  </si>
  <si>
    <t>Magasinage/vêtements/ plaisirs</t>
  </si>
  <si>
    <t>Enfants</t>
  </si>
  <si>
    <t>Dépense autos/ permis/ SAAQ</t>
  </si>
  <si>
    <t>VACANCES-VOYAGE</t>
  </si>
  <si>
    <t>Taxes scolaire municipale</t>
  </si>
  <si>
    <t>Réserve</t>
  </si>
  <si>
    <t>Total des dépenses</t>
  </si>
  <si>
    <t>Surplus/déficit</t>
  </si>
  <si>
    <t>Solde au compte prévue</t>
  </si>
  <si>
    <t>Cotisation de la conjointe</t>
  </si>
  <si>
    <t>Rénovation/projet maison</t>
  </si>
  <si>
    <t>DDN</t>
  </si>
  <si>
    <t>Comptable perso</t>
  </si>
  <si>
    <t>Comptable cie</t>
  </si>
  <si>
    <t>2022</t>
  </si>
  <si>
    <t>Droit cotisation CELI au 1er janvier</t>
  </si>
  <si>
    <t xml:space="preserve"> </t>
  </si>
  <si>
    <t>2023</t>
  </si>
  <si>
    <t>2024</t>
  </si>
  <si>
    <t>2025</t>
  </si>
  <si>
    <t>2026</t>
  </si>
  <si>
    <t>Passif court terme</t>
  </si>
  <si>
    <t>Dettes à long terme</t>
  </si>
  <si>
    <t>Total du passif court terme</t>
  </si>
  <si>
    <t>Immeuble</t>
  </si>
  <si>
    <t>OPCO inc</t>
  </si>
  <si>
    <t>Avance de l'actionnaire</t>
  </si>
  <si>
    <t>GESCO INC</t>
  </si>
  <si>
    <t>OPCO INC</t>
  </si>
  <si>
    <t>Fin d'année fiscale GESCO</t>
  </si>
  <si>
    <t>Fin d'année fiscale OPCO</t>
  </si>
  <si>
    <t>IMPOT LATTENT</t>
  </si>
  <si>
    <t>Encaisse</t>
  </si>
  <si>
    <t>Marge crédit</t>
  </si>
  <si>
    <t>Prêt auto</t>
  </si>
  <si>
    <t>Droit cotisation REER (RAP)</t>
  </si>
  <si>
    <t xml:space="preserve">Adresse principale : </t>
  </si>
  <si>
    <t>Convention d'actionnaire</t>
  </si>
  <si>
    <t>Niveau d'épargne combiné annuel $</t>
  </si>
  <si>
    <t>Niveau d'épargne combiné annuel %</t>
  </si>
  <si>
    <t>Sommaire assurance de dommages</t>
  </si>
  <si>
    <t>Compagnie - # - date d'effet</t>
  </si>
  <si>
    <t>Date de renouvellement</t>
  </si>
  <si>
    <t>Détails</t>
  </si>
  <si>
    <t>Prime annuelle</t>
  </si>
  <si>
    <t xml:space="preserve">LaCapitale - </t>
  </si>
  <si>
    <t>unique</t>
  </si>
  <si>
    <t xml:space="preserve">maison </t>
  </si>
  <si>
    <t xml:space="preserve">bloc </t>
  </si>
  <si>
    <t>Voiture 1</t>
  </si>
  <si>
    <t>Voiture 2</t>
  </si>
  <si>
    <t>VTT</t>
  </si>
  <si>
    <t>Bateau</t>
  </si>
  <si>
    <t xml:space="preserve">Desjardins - </t>
  </si>
  <si>
    <t>Bien assuré</t>
  </si>
  <si>
    <t>franchise 500 $, valeur reconstruction 750 000 $</t>
  </si>
  <si>
    <t>% du revenu brut</t>
  </si>
  <si>
    <t>Concept de vie permanent</t>
  </si>
  <si>
    <t>Option 1</t>
  </si>
  <si>
    <t>option 2</t>
  </si>
  <si>
    <t>Option3</t>
  </si>
  <si>
    <t>Particulier</t>
  </si>
  <si>
    <t>coût partagé</t>
  </si>
  <si>
    <t>RIPS</t>
  </si>
  <si>
    <t>Coût annuels pour employé</t>
  </si>
  <si>
    <t>Prime</t>
  </si>
  <si>
    <t>Salaire additionnel</t>
  </si>
  <si>
    <t>Coût aux fin de l'impôt (45 %)</t>
  </si>
  <si>
    <t>Total des coûts pour employé</t>
  </si>
  <si>
    <t>Coûts annuels pour l'employeur</t>
  </si>
  <si>
    <t>Salaire additionnel requis</t>
  </si>
  <si>
    <t>Avantage imposable pour l'employé</t>
  </si>
  <si>
    <t>Prime nette</t>
  </si>
  <si>
    <t>déduction fiscale entreprise</t>
  </si>
  <si>
    <t>Coûts nette pour l'entreprise</t>
  </si>
  <si>
    <t>prime net mensuelle</t>
  </si>
  <si>
    <t>Prestation AI mensuelle totale</t>
  </si>
  <si>
    <t>Prime net après impôt</t>
  </si>
  <si>
    <t>Économie en pourcentage</t>
  </si>
  <si>
    <t>Taux d'impôt personnelle utilisé</t>
  </si>
  <si>
    <t>Taux d'impôt de société utilisé</t>
  </si>
  <si>
    <t>Le RIPS donne un rabais de 15 % minimum à partir du moment que le régime compte 3 assurés. Une fois le rabais obtenu, il est garanti à vie. Aide également pour rester en bas du 500 000 $ de bénéfice et pouvoir bénéficier du petit taux. De loin suppérieur à un régime collectif standard.</t>
  </si>
  <si>
    <t>ANALYSE RIPS</t>
  </si>
  <si>
    <t>Police</t>
  </si>
  <si>
    <t>Protection</t>
  </si>
  <si>
    <t>Salaire</t>
  </si>
  <si>
    <t>Prestation</t>
  </si>
  <si>
    <t>prime mensuel</t>
  </si>
  <si>
    <t>Prime annualisé</t>
  </si>
  <si>
    <t>Prime annuelle nette</t>
  </si>
  <si>
    <t>Prénom date naissance</t>
  </si>
  <si>
    <t>RBC RIPS</t>
  </si>
  <si>
    <t>4A, 90/90, nivelé, invalidité résiduel, OAA 1500 $, rabais 25 %</t>
  </si>
  <si>
    <t>3A, 90/90, nivelé, invalidité résiduel, OAA 500 $, rabais 15 %</t>
  </si>
  <si>
    <t>TOTAL RIPS</t>
  </si>
  <si>
    <t>ANALYSE INDIVIDUELLE</t>
  </si>
  <si>
    <t>TOTAL STANDARD</t>
  </si>
  <si>
    <t>Sommaire des protections</t>
  </si>
  <si>
    <t>No de police</t>
  </si>
  <si>
    <t>Date d'effet</t>
  </si>
  <si>
    <t>Protection description</t>
  </si>
  <si>
    <t>Commentaires</t>
  </si>
  <si>
    <t>RBC Profession</t>
  </si>
  <si>
    <t>4A, 65 ans, accident et maladie, 90jr, OAA 16 300 $, prestation garantie, def élargie, 25 % rabais</t>
  </si>
  <si>
    <t>Déductible</t>
  </si>
  <si>
    <t>Sécur+, accident 1er jour</t>
  </si>
  <si>
    <t>Non-Déductible, sera en vigueur à partir du 24 ocotbre</t>
  </si>
  <si>
    <t>RBC Fondation</t>
  </si>
  <si>
    <t>B, 5 ans, accident et maladie, 90 jrs, OAA 500 $, prestation garantie, def inv total, 15 % rabais, surprime 30 %</t>
  </si>
  <si>
    <t xml:space="preserve">RBC Fondamentale </t>
  </si>
  <si>
    <t>cat 4, 5 ans, 90 jrs, accident et maladie, prestation non-garantie, def inv total</t>
  </si>
  <si>
    <t>B, 5 ans, accident et maladie, 90 jrs, OAA 500 $, prestation garantie, def inv total, 15 % rabais, surpirme 30 %</t>
  </si>
  <si>
    <t>cat. 4, 5 ans, 90 jrs, accident et maladie, prestation non-garantie, def inv total</t>
  </si>
  <si>
    <t>Le propriétaire, payeur et bénéficiaire des contrats sont xyz. Seules les primes payés pour RBC sont déductibles d'impôt.</t>
  </si>
  <si>
    <t>Moyenne mensuelle</t>
  </si>
  <si>
    <t>Revenus</t>
  </si>
  <si>
    <t>Revenu d'emploi net</t>
  </si>
  <si>
    <t>Revenu de stage net</t>
  </si>
  <si>
    <t>AFE (prêt &amp; bourse)</t>
  </si>
  <si>
    <t>Bourse (autres)</t>
  </si>
  <si>
    <t>Aide parent</t>
  </si>
  <si>
    <t>Dépôt direct /Divers au comptoir</t>
  </si>
  <si>
    <t>Ristourne/tps/Crédit d'impôt</t>
  </si>
  <si>
    <t>Habitations</t>
  </si>
  <si>
    <t>Épicerie/ Nourriture</t>
  </si>
  <si>
    <t>Frais permis et plaque (SAAQ)</t>
  </si>
  <si>
    <t>Coiffeur</t>
  </si>
  <si>
    <t>Voyages-Vacances</t>
  </si>
  <si>
    <t>Frais scolarité</t>
  </si>
  <si>
    <t>Magasinages</t>
  </si>
  <si>
    <t>Abonnement mensuel (Netflix, etc.)</t>
  </si>
  <si>
    <t>Remboursement emprunt</t>
  </si>
  <si>
    <t>Placement (CELI, REER, etc)</t>
  </si>
  <si>
    <t>Deficit</t>
  </si>
  <si>
    <t>Surplus</t>
  </si>
  <si>
    <t>Solde au compte en début d'exercice</t>
  </si>
  <si>
    <t>** remplir la colonne de gauche - inscrire vos paiement mensuels ainsi que vos soldes de cartes de crédit et marges de credit**</t>
  </si>
  <si>
    <t>dépenses mensuelles</t>
  </si>
  <si>
    <t>paiement prêt auto mensuel</t>
  </si>
  <si>
    <t>paiement prêt personnel mensuel</t>
  </si>
  <si>
    <t>financement Accord D (paiement mensuel)</t>
  </si>
  <si>
    <t>solde de carte de credit</t>
  </si>
  <si>
    <t>solde de marges de credit</t>
  </si>
  <si>
    <t>solde de prêt étudiant</t>
  </si>
  <si>
    <t>hypothèque mensuelle existante</t>
  </si>
  <si>
    <t>taxes municipales existantes annuelles</t>
  </si>
  <si>
    <t>taxes scolaires existantes annuelles</t>
  </si>
  <si>
    <t>autre remboursement de prêt mensuel</t>
  </si>
  <si>
    <t xml:space="preserve">capacité d'emprunt approximative </t>
  </si>
  <si>
    <t>PRÊT AFE</t>
  </si>
  <si>
    <t>Durée remb. (année)</t>
  </si>
  <si>
    <t>Paiement</t>
  </si>
  <si>
    <t>Début remboursement</t>
  </si>
  <si>
    <t>Cédule Amortissement AFE</t>
  </si>
  <si>
    <t>Période</t>
  </si>
  <si>
    <t>Solde début période</t>
  </si>
  <si>
    <t>Intérêt</t>
  </si>
  <si>
    <t>Capital Remb.</t>
  </si>
  <si>
    <t>Solde fin période</t>
  </si>
  <si>
    <t>ABD : inferieur a 35%</t>
  </si>
  <si>
    <t>ATD : doit etre inferieur a 42%</t>
  </si>
  <si>
    <t>Mise de fond</t>
  </si>
  <si>
    <t>FINANCEMENT</t>
  </si>
  <si>
    <t>Évaluation Municipale</t>
  </si>
  <si>
    <t>Hypothèque</t>
  </si>
  <si>
    <t>Valeur de revente</t>
  </si>
  <si>
    <t>Prix demandé</t>
  </si>
  <si>
    <t>Assurance prêt (SCHL/GENWORTH)</t>
  </si>
  <si>
    <t>Solde prêt</t>
  </si>
  <si>
    <t>Prix négocié</t>
  </si>
  <si>
    <t>TOTAL</t>
  </si>
  <si>
    <t>Valeur net revente</t>
  </si>
  <si>
    <t>FRAIS À L'ENTRÉE</t>
  </si>
  <si>
    <t>VALEUR NET TOTAL</t>
  </si>
  <si>
    <t>EMPRUNT</t>
  </si>
  <si>
    <t>Capacité d'emrprunt</t>
  </si>
  <si>
    <t>Taxe bienvenue</t>
  </si>
  <si>
    <t>Amortissement</t>
  </si>
  <si>
    <t>Taxe assurance prêt (9%)</t>
  </si>
  <si>
    <t>Hypothèque refinancé</t>
  </si>
  <si>
    <t>Remise en argent</t>
  </si>
  <si>
    <t>Inspection</t>
  </si>
  <si>
    <t>Taxe municipale</t>
  </si>
  <si>
    <t>Taxe scolaire</t>
  </si>
  <si>
    <t>BILAN FINANCIER</t>
  </si>
  <si>
    <t>Frais de condo</t>
  </si>
  <si>
    <t>Revenu annuel brut</t>
  </si>
  <si>
    <t>LIQUIDITÉ</t>
  </si>
  <si>
    <t>Assurance habitation</t>
  </si>
  <si>
    <t>Liquidité disponible à l'achat</t>
  </si>
  <si>
    <t>Rénovation</t>
  </si>
  <si>
    <t>Assurance vie &amp; invalidité</t>
  </si>
  <si>
    <t>Obligation mensuel</t>
  </si>
  <si>
    <t>Programme remise en argent</t>
  </si>
  <si>
    <t>Fond d'urgence</t>
  </si>
  <si>
    <t>Budget mensuel</t>
  </si>
  <si>
    <t>SURPLUS À L'ACHAT</t>
  </si>
  <si>
    <t>Coût mensuel total</t>
  </si>
  <si>
    <t>Revenu locatif</t>
  </si>
  <si>
    <t>DEPENSE MENSUEL</t>
  </si>
  <si>
    <t>COÛTS MENSUELS</t>
  </si>
  <si>
    <t>SURPLUS LOCATIF</t>
  </si>
  <si>
    <t>Remboursement capital moyen</t>
  </si>
  <si>
    <t>Augmentation valeur (1% annuel)</t>
  </si>
  <si>
    <t>RETOUR SUR INVESTISSEMENT MENSUEL</t>
  </si>
  <si>
    <t>Électricité</t>
  </si>
  <si>
    <t>Assurance logement</t>
  </si>
  <si>
    <t>Fond d'urgence &amp; Entretien</t>
  </si>
  <si>
    <t>Revenu de location</t>
  </si>
  <si>
    <t>OBJECTIF LONG TERME</t>
  </si>
  <si>
    <t>Nombre année de résidence prévue</t>
  </si>
  <si>
    <t>Rendement placement</t>
  </si>
  <si>
    <t>Taux d'intérêt refinancement</t>
  </si>
  <si>
    <t>Potentiel de location mensuel</t>
  </si>
  <si>
    <t>SOLDE PRÊT ESTIMÉ</t>
  </si>
  <si>
    <t>SCÉNARIO 1</t>
  </si>
  <si>
    <t>SCÉNARIO 2</t>
  </si>
  <si>
    <t>SCÉNARIO 4</t>
  </si>
  <si>
    <t>SOLDE DEBUT</t>
  </si>
  <si>
    <t>SOLDE FIN</t>
  </si>
  <si>
    <t>SOLDE ÉPARGNE</t>
  </si>
  <si>
    <t>DÉPÔT</t>
  </si>
  <si>
    <t>VALEUR NET LORS DE LA REVENTE</t>
  </si>
  <si>
    <t>Scenario 1</t>
  </si>
  <si>
    <t>Scenario 2</t>
  </si>
  <si>
    <t>VALEUR REVENTE</t>
  </si>
  <si>
    <t>SOLDE PRÊT</t>
  </si>
  <si>
    <t>VALEUR NET DE REVENTE</t>
  </si>
  <si>
    <t>Indexation/ taux inflation</t>
  </si>
  <si>
    <t>Taxe de bienvenue (9%)</t>
  </si>
  <si>
    <t>Coût réel de l'assurance hypothécaire des institutions financières</t>
  </si>
  <si>
    <t>Durée du prêt :</t>
  </si>
  <si>
    <t>années</t>
  </si>
  <si>
    <t>Taux d'intérêt hypothécaire :</t>
  </si>
  <si>
    <t>Coût d'assurance :</t>
  </si>
  <si>
    <t>Montant d'assurance :</t>
  </si>
  <si>
    <t>Résultats</t>
  </si>
  <si>
    <t>Sans assurance</t>
  </si>
  <si>
    <t>Avec assurance</t>
  </si>
  <si>
    <t>Taux d'intérêt :</t>
  </si>
  <si>
    <t>A :</t>
  </si>
  <si>
    <t>B :</t>
  </si>
  <si>
    <t>Coût évident :</t>
  </si>
  <si>
    <t>B - A :</t>
  </si>
  <si>
    <t>+</t>
  </si>
  <si>
    <t xml:space="preserve">Solde du prêt après </t>
  </si>
  <si>
    <t>C :</t>
  </si>
  <si>
    <t>D :</t>
  </si>
  <si>
    <t>=</t>
  </si>
  <si>
    <t>Coût total de cette assurance :</t>
  </si>
  <si>
    <t>Le solde d'un prêt décroit moins rapidement lorsque les coûts de l'assurance hypothécaire sont exprimés sous forme d'un pourcentage</t>
  </si>
  <si>
    <t>ans</t>
  </si>
  <si>
    <t>fin</t>
  </si>
  <si>
    <t>début</t>
  </si>
  <si>
    <t>Taux d'intérêt hypothécaire annuel :</t>
  </si>
  <si>
    <t>Solde après :</t>
  </si>
  <si>
    <t>i(n) :</t>
  </si>
  <si>
    <t>mensuel x 12</t>
  </si>
  <si>
    <t>a¨(n) :</t>
  </si>
  <si>
    <t>mois</t>
  </si>
  <si>
    <t>mensuel</t>
  </si>
  <si>
    <t>Pay :</t>
  </si>
  <si>
    <t>quinzaines</t>
  </si>
  <si>
    <t>à la quinzaine</t>
  </si>
  <si>
    <t xml:space="preserve">Annuel pay : </t>
  </si>
  <si>
    <t>semaines</t>
  </si>
  <si>
    <t>hebdomadaire</t>
  </si>
  <si>
    <t>Coût caché additionnel :</t>
  </si>
  <si>
    <t xml:space="preserve">Calcul de capacité d'emprunt approximative </t>
  </si>
  <si>
    <t>Remplir la colonne de gauche - inscrire vos paiement mensuels ainsi que vos soldes de cartes de crédit et marges de credit</t>
  </si>
  <si>
    <t>Ce calcul donne une approximation et votre courtier hypothécaire pourra préciser le montant et finaliser votre pré-qualification avec vous</t>
  </si>
  <si>
    <t>Règle respecté :</t>
  </si>
  <si>
    <t xml:space="preserve">Salaire annuel brut </t>
  </si>
  <si>
    <t>Cédule Amortissement Marge Crédit/ Prêt</t>
  </si>
  <si>
    <t>Objectifs, projets et rêves</t>
  </si>
  <si>
    <t>Court-terme : moins de 18 mois</t>
  </si>
  <si>
    <t>moyen-terme : 18 mois à 5 ans</t>
  </si>
  <si>
    <t>long-terme : 5ans et +</t>
  </si>
  <si>
    <t>2027</t>
  </si>
  <si>
    <t>NOTES</t>
  </si>
  <si>
    <t xml:space="preserve">Emploi #1 - Revenu net </t>
  </si>
  <si>
    <t xml:space="preserve">Emploi #2 - Revenu net </t>
  </si>
  <si>
    <t>Autres revenus (cadeau, impôt, etc.)</t>
  </si>
  <si>
    <t>Entretien (gazon, déneigement, etc.)</t>
  </si>
  <si>
    <t>Services</t>
  </si>
  <si>
    <t>Internet</t>
  </si>
  <si>
    <t>Câble (Netflix, Amazon, etc.)</t>
  </si>
  <si>
    <t>Restaurants</t>
  </si>
  <si>
    <t>Transport</t>
  </si>
  <si>
    <t>Essence</t>
  </si>
  <si>
    <t>Entretien &amp; Réparation</t>
  </si>
  <si>
    <t>Permis &amp; Immatriculation</t>
  </si>
  <si>
    <t>Santé &amp; Loisirs</t>
  </si>
  <si>
    <t>Loisirs/Sports/Livres/Etc.</t>
  </si>
  <si>
    <t>Voyage</t>
  </si>
  <si>
    <t>Vêtements</t>
  </si>
  <si>
    <t>Virements au compte conjoint</t>
  </si>
  <si>
    <t>Assurances</t>
  </si>
  <si>
    <t>Épargne &amp; Placements</t>
  </si>
  <si>
    <t xml:space="preserve">Compte chèques </t>
  </si>
  <si>
    <t>CELI -</t>
  </si>
  <si>
    <t>REER -</t>
  </si>
  <si>
    <t>Suppléments (Walmart, Dollorama, etc.)</t>
  </si>
  <si>
    <t>Statut</t>
  </si>
  <si>
    <t>Comment fonctionne la stratégie d'assurance maladie grave à propriété partagé ?</t>
  </si>
  <si>
    <t>L'actionnaire et/ou l'employé clé et l'entreprise souscrivent conjointement à une assurance maladies graves</t>
  </si>
  <si>
    <t>L'entreprise paie la portion des primes liées aux protections maladies graves</t>
  </si>
  <si>
    <t>L'actionnaire paie la portion des primes liées à l'option de remboursement des primes de l'assurance maladies graves seulement</t>
  </si>
  <si>
    <t>Si aucune prestation n'a été versé, lorsque l'entreprise annule la protection d'assurance maladie grave, l'actionnaire reçoit un montant non-imposable équivalent à la totalité des primes payées par l'actionnaire et l'entreprise.</t>
  </si>
  <si>
    <t>Procurre des liquidités à l'entreprise afin de racheter l'actionnaire en cas de maladie grave</t>
  </si>
  <si>
    <t>Si l'actionnaire est atteint d'une maladie grave :</t>
  </si>
  <si>
    <t>L'entreprise reçoit la prestation de maladie grave, non imposable</t>
  </si>
  <si>
    <t>Si l'actionnaire décède</t>
  </si>
  <si>
    <t>Total des primes payés $</t>
  </si>
  <si>
    <t xml:space="preserve">L'entreprise reçoit la prestation de décès lié au contrat corespondant aux primes payés, le tout est versé au CDC puisque considéré comme capital décès. </t>
  </si>
  <si>
    <t>Si l'actionnaire reste en bonne santé et que l'entreprise juge qu'il n'est plus nécessaire de maintenir la protection et l'annule</t>
  </si>
  <si>
    <t>Lors de l'annulation du contrat après 15 ans, il est possible pour l'actionnaire de récupérer 100 % des primes payés par lui-même et la compagnie.</t>
  </si>
  <si>
    <t>L'entreprise peut vous verser une partiellement ou totalement de la prestation de maladie grave pour entre autres :</t>
  </si>
  <si>
    <t>vous permettre de vous procurer les meilleurs soins médicaux, peu importe où ils sont offerts</t>
  </si>
  <si>
    <t>compenser la baisse de vos revenus;</t>
  </si>
  <si>
    <t>couvrir vos dépenses additionnelles (aide à domicile, réaménagement de votre résidence, remplacement du salaire de votre conjoint, etc.);</t>
  </si>
  <si>
    <t>vous aider à rembourser vos dettes.</t>
  </si>
  <si>
    <t>Cette prestation protège également la santé financière de l'entreprise, afin de :</t>
  </si>
  <si>
    <t>rembourser ses dettes</t>
  </si>
  <si>
    <t>compenser la perte de clients causée par votre absence;</t>
  </si>
  <si>
    <t>embaucher une relève pendant votre absence.</t>
  </si>
  <si>
    <t>Propriétaire</t>
  </si>
  <si>
    <t xml:space="preserve">Prime pour option remboursement de prime payé par </t>
  </si>
  <si>
    <t xml:space="preserve">Prime pour assurance maladie grave payé par </t>
  </si>
  <si>
    <t>Bénéficiaire de l'assurance</t>
  </si>
  <si>
    <t>Bénéficiaire du remboursement de prime</t>
  </si>
  <si>
    <t>Taux d'imposition de l'actionnaire</t>
  </si>
  <si>
    <t>Exemple du concept</t>
  </si>
  <si>
    <t>Prime payé par l'entreprise</t>
  </si>
  <si>
    <t>Assurance maladies graves</t>
  </si>
  <si>
    <t>Prime payé par l'actionnaire</t>
  </si>
  <si>
    <t>Prestation non imposable</t>
  </si>
  <si>
    <t>GESCO</t>
  </si>
  <si>
    <t>À la première des trois éventualités suivantes :</t>
  </si>
  <si>
    <t>1. Diagnostic de maladie grave à 50 ans</t>
  </si>
  <si>
    <t>2. Décès de l'actionnaire à 50 ans</t>
  </si>
  <si>
    <t>3. La compagnie annule le contrat à 50 ans*</t>
  </si>
  <si>
    <t>$ payé par la cie</t>
  </si>
  <si>
    <t>$ payé par l'actionnaire</t>
  </si>
  <si>
    <t>TRI fiscal 8,26%*</t>
  </si>
  <si>
    <t>4. La compagnie annule le contrat à 75 ans</t>
  </si>
  <si>
    <t>* Important : L’actionnaire ne pourra toucher la prestation de santé avant 75 ans, sans impact fiscal, que si la compagnie n'a plus besoin de la protection.</t>
  </si>
  <si>
    <r>
      <t>*Calcul du coût d'opportunité : si le 15 065</t>
    </r>
    <r>
      <rPr>
        <b/>
        <sz val="11"/>
        <color theme="1"/>
        <rFont val="Calibri"/>
        <family val="2"/>
        <scheme val="minor"/>
      </rPr>
      <t xml:space="preserve"> $ </t>
    </r>
    <r>
      <rPr>
        <sz val="11"/>
        <color theme="1"/>
        <rFont val="Calibri"/>
        <family val="2"/>
        <scheme val="minor"/>
      </rPr>
      <t>avait été versé à chaque année à l'actionnaire, selon un taux d''imposition global de 50 % sur cette somme, si l'actionnaire avait investi la somme restante de 7532,50</t>
    </r>
    <r>
      <rPr>
        <b/>
        <sz val="11"/>
        <color theme="1"/>
        <rFont val="Calibri"/>
        <family val="2"/>
        <scheme val="minor"/>
      </rPr>
      <t xml:space="preserve"> $</t>
    </r>
    <r>
      <rPr>
        <sz val="11"/>
        <color theme="1"/>
        <rFont val="Calibri"/>
        <family val="2"/>
        <scheme val="minor"/>
      </rPr>
      <t xml:space="preserve">, il lui faudra réaliser </t>
    </r>
    <r>
      <rPr>
        <b/>
        <sz val="11"/>
        <color theme="1"/>
        <rFont val="Calibri"/>
        <family val="2"/>
        <scheme val="minor"/>
      </rPr>
      <t>8,26 %</t>
    </r>
    <r>
      <rPr>
        <sz val="11"/>
        <color theme="1"/>
        <rFont val="Calibri"/>
        <family val="2"/>
        <scheme val="minor"/>
      </rPr>
      <t xml:space="preserve"> de rendement garantie à </t>
    </r>
    <r>
      <rPr>
        <u/>
        <sz val="11"/>
        <color theme="1"/>
        <rFont val="Calibri"/>
        <family val="2"/>
        <scheme val="minor"/>
      </rPr>
      <t>après impôt</t>
    </r>
    <r>
      <rPr>
        <sz val="11"/>
        <color theme="1"/>
        <rFont val="Calibri"/>
        <family val="2"/>
        <scheme val="minor"/>
      </rPr>
      <t xml:space="preserve"> pour atteindre un montant de 225 975</t>
    </r>
    <r>
      <rPr>
        <b/>
        <sz val="11"/>
        <color theme="1"/>
        <rFont val="Calibri"/>
        <family val="2"/>
        <scheme val="minor"/>
      </rPr>
      <t xml:space="preserve"> $ </t>
    </r>
    <r>
      <rPr>
        <sz val="11"/>
        <color theme="1"/>
        <rFont val="Calibri"/>
        <family val="2"/>
        <scheme val="minor"/>
      </rPr>
      <t>net.</t>
    </r>
  </si>
  <si>
    <t>Assureur</t>
  </si>
  <si>
    <t>Prime total annuelle</t>
  </si>
  <si>
    <t>Prime base</t>
  </si>
  <si>
    <t>frais de contrat</t>
  </si>
  <si>
    <t>Perte autonomie</t>
  </si>
  <si>
    <t>Second événement</t>
  </si>
  <si>
    <t>Option remb prime au décès</t>
  </si>
  <si>
    <t>Option remb prime flexible</t>
  </si>
  <si>
    <t>exo en cas d'invalidité</t>
  </si>
  <si>
    <t>% de la prime payé par la l'actionnaire</t>
  </si>
  <si>
    <t>T75 remb prime après 15 ans, exo inv, remb prime décès</t>
  </si>
  <si>
    <t>CanadaVie</t>
  </si>
  <si>
    <r>
      <t xml:space="preserve">T75 remb prime après 15 ans, exo inv, remb prime décès, </t>
    </r>
    <r>
      <rPr>
        <sz val="11"/>
        <color rgb="FFFF0000"/>
        <rFont val="Calibri"/>
        <family val="2"/>
        <scheme val="minor"/>
      </rPr>
      <t>second événement</t>
    </r>
  </si>
  <si>
    <t>SunLife</t>
  </si>
  <si>
    <r>
      <t xml:space="preserve">T75 remb prime à 65 ans, exo inv, remb prime décès, </t>
    </r>
    <r>
      <rPr>
        <sz val="11"/>
        <color rgb="FFFF0000"/>
        <rFont val="Calibri"/>
        <family val="2"/>
        <scheme val="minor"/>
      </rPr>
      <t>second événement</t>
    </r>
  </si>
  <si>
    <t>T75 remb prime à 65 ans, exo inv, remb prime décès</t>
  </si>
  <si>
    <t>T100 libéré 15 ans, remb prime après 15 ans, exo inv, remb prime décès</t>
  </si>
  <si>
    <t>T75 remb prime après 15 ans, exo inv, remb prime décès, second événement</t>
  </si>
  <si>
    <t>propriétaire</t>
  </si>
  <si>
    <t>Prêt hypothécaire</t>
  </si>
  <si>
    <t>Voir détails</t>
  </si>
  <si>
    <t>Monsieur A</t>
  </si>
  <si>
    <t>Madame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</si>
</sst>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#,##0\ &quot;$&quot;_);[Red]\(#,##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\ _$_ ;_ * \(#,##0.00\)\ _$_ ;_ * &quot;-&quot;??_)\ _$_ ;_ @_ "/>
    <numFmt numFmtId="169" formatCode="#,##0.0\ ;\(#,##0.0\)"/>
    <numFmt numFmtId="170" formatCode="[$$-1009]#,##0"/>
    <numFmt numFmtId="171" formatCode="[$$-1009]#,##0.00"/>
    <numFmt numFmtId="172" formatCode="_ * #,##0_)\ &quot;$&quot;_ ;_ * \(#,##0\)\ &quot;$&quot;_ ;_ * &quot;-&quot;??_)\ &quot;$&quot;_ ;_ @_ "/>
    <numFmt numFmtId="173" formatCode="#,##0\ [$$-C0C]_-"/>
    <numFmt numFmtId="174" formatCode="_-* #,##0\ [$$-C0C]_-;_-* #,##0\ [$$-C0C]\-;_-* &quot;-&quot;\ [$$-C0C]_-;_-@_-"/>
    <numFmt numFmtId="175" formatCode="_-[$$-1009]* #,##0_-;\-[$$-1009]* #,##0_-;_-[$$-1009]* &quot;-&quot;_-;_-@_-"/>
    <numFmt numFmtId="176" formatCode="&quot;$&quot;#,##0"/>
    <numFmt numFmtId="177" formatCode="0.00&quot;X&quot;"/>
    <numFmt numFmtId="178" formatCode="_ * #,##0.00_)\ [$$-C0C]_ ;_ * \(#,##0.00\)\ [$$-C0C]_ ;_ * &quot;-&quot;??_)\ [$$-C0C]_ ;_ @_ "/>
    <numFmt numFmtId="179" formatCode="_ * #,##0_)\ [$$-C0C]_ ;_ * \(#,##0\)\ [$$-C0C]_ ;_ * &quot;-&quot;??_)\ [$$-C0C]_ ;_ @_ "/>
    <numFmt numFmtId="180" formatCode="0.0%"/>
    <numFmt numFmtId="181" formatCode="0.00000%"/>
    <numFmt numFmtId="182" formatCode="#,##0.00\ &quot;$&quot;"/>
    <numFmt numFmtId="183" formatCode="&quot;$&quot;#,##0.00;[Red]&quot;$&quot;#,##0.00"/>
    <numFmt numFmtId="184" formatCode="0.0000%"/>
    <numFmt numFmtId="185" formatCode="_(&quot;$&quot;* #,##0_);_(&quot;$&quot;* \(#,##0\);_(&quot;$&quot;* &quot;-&quot;??_);_(@_)"/>
  </numFmts>
  <fonts count="96" x14ac:knownFonts="1">
    <font>
      <sz val="10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b/>
      <sz val="8"/>
      <name val="Gill Sans"/>
    </font>
    <font>
      <b/>
      <sz val="9"/>
      <name val="Gill Sans"/>
    </font>
    <font>
      <sz val="8"/>
      <name val="Gill Sans"/>
      <family val="2"/>
    </font>
    <font>
      <sz val="9"/>
      <name val="Gill Sans"/>
      <family val="2"/>
    </font>
    <font>
      <sz val="8"/>
      <color rgb="FFFF0000"/>
      <name val="Gill Sans"/>
      <family val="2"/>
    </font>
    <font>
      <b/>
      <sz val="8"/>
      <color indexed="12"/>
      <name val="Gill Sans"/>
    </font>
    <font>
      <b/>
      <sz val="8"/>
      <name val="Gill Sans"/>
      <family val="2"/>
    </font>
    <font>
      <sz val="9"/>
      <color indexed="10"/>
      <name val="Gill Sans"/>
      <family val="2"/>
    </font>
    <font>
      <sz val="8"/>
      <name val="Gill Sans"/>
    </font>
    <font>
      <sz val="8"/>
      <color indexed="12"/>
      <name val="Gill Sans"/>
      <family val="2"/>
    </font>
    <font>
      <b/>
      <sz val="9"/>
      <name val="Gill Sans"/>
      <family val="2"/>
    </font>
    <font>
      <b/>
      <sz val="10"/>
      <name val="Gill Sans"/>
      <family val="2"/>
    </font>
    <font>
      <sz val="18"/>
      <name val="Gill Sans"/>
    </font>
    <font>
      <b/>
      <sz val="12"/>
      <name val="Gill Sans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i/>
      <u/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000000"/>
      <name val="Tahoma"/>
      <family val="2"/>
    </font>
  </fonts>
  <fills count="46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4" tint="0.39997558519241921"/>
      </patternFill>
    </fill>
    <fill>
      <patternFill patternType="lightUp">
        <fgColor theme="0"/>
        <bgColor theme="5" tint="0.39997558519241921"/>
      </patternFill>
    </fill>
    <fill>
      <patternFill patternType="solid">
        <fgColor rgb="FF66FF3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lightUp">
        <fgColor theme="0"/>
        <bgColor theme="7" tint="0.39994506668294322"/>
      </patternFill>
    </fill>
    <fill>
      <patternFill patternType="lightUp">
        <fgColor theme="0"/>
        <bgColor theme="7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5E5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thick">
        <color theme="5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ck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</borders>
  <cellStyleXfs count="42">
    <xf numFmtId="0" fontId="0" fillId="0" borderId="0"/>
    <xf numFmtId="166" fontId="15" fillId="0" borderId="0" applyFont="0" applyFill="0" applyBorder="0" applyAlignment="0" applyProtection="0"/>
    <xf numFmtId="0" fontId="16" fillId="0" borderId="2" applyNumberFormat="0" applyFill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0" fillId="0" borderId="0"/>
    <xf numFmtId="0" fontId="22" fillId="0" borderId="0"/>
    <xf numFmtId="43" fontId="22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6" fillId="0" borderId="0"/>
    <xf numFmtId="44" fontId="7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22" fillId="0" borderId="0" applyFont="0" applyFill="0" applyBorder="0" applyAlignment="0" applyProtection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00">
    <xf numFmtId="0" fontId="0" fillId="0" borderId="0" xfId="0"/>
    <xf numFmtId="0" fontId="18" fillId="0" borderId="2" xfId="2" applyNumberFormat="1" applyFont="1" applyAlignment="1">
      <alignment horizont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169" fontId="19" fillId="0" borderId="0" xfId="0" applyNumberFormat="1" applyFont="1"/>
    <xf numFmtId="0" fontId="17" fillId="0" borderId="3" xfId="2" applyFont="1" applyBorder="1" applyAlignment="1"/>
    <xf numFmtId="0" fontId="18" fillId="0" borderId="3" xfId="2" applyNumberFormat="1" applyFont="1" applyBorder="1" applyAlignment="1">
      <alignment horizontal="center"/>
    </xf>
    <xf numFmtId="0" fontId="19" fillId="0" borderId="0" xfId="0" applyFont="1"/>
    <xf numFmtId="0" fontId="17" fillId="0" borderId="2" xfId="2" applyFont="1"/>
    <xf numFmtId="0" fontId="22" fillId="2" borderId="0" xfId="3" applyAlignment="1">
      <alignment wrapText="1"/>
    </xf>
    <xf numFmtId="0" fontId="26" fillId="3" borderId="0" xfId="4" applyFont="1" applyAlignment="1">
      <alignment wrapText="1"/>
    </xf>
    <xf numFmtId="0" fontId="26" fillId="2" borderId="0" xfId="3" applyFont="1" applyAlignment="1">
      <alignment wrapText="1"/>
    </xf>
    <xf numFmtId="0" fontId="23" fillId="0" borderId="0" xfId="0" applyFont="1" applyAlignment="1">
      <alignment horizontal="right"/>
    </xf>
    <xf numFmtId="0" fontId="0" fillId="0" borderId="7" xfId="0" applyBorder="1"/>
    <xf numFmtId="0" fontId="28" fillId="8" borderId="6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170" fontId="28" fillId="8" borderId="0" xfId="1" applyNumberFormat="1" applyFont="1" applyFill="1" applyAlignment="1">
      <alignment horizontal="center" vertical="center"/>
    </xf>
    <xf numFmtId="171" fontId="28" fillId="8" borderId="9" xfId="1" applyNumberFormat="1" applyFont="1" applyFill="1" applyBorder="1" applyAlignment="1">
      <alignment horizontal="center" vertical="center"/>
    </xf>
    <xf numFmtId="0" fontId="0" fillId="8" borderId="6" xfId="0" applyFill="1" applyBorder="1" applyAlignment="1">
      <alignment vertical="center"/>
    </xf>
    <xf numFmtId="0" fontId="29" fillId="8" borderId="0" xfId="0" applyFont="1" applyFill="1" applyAlignment="1">
      <alignment horizontal="left" vertical="center"/>
    </xf>
    <xf numFmtId="170" fontId="29" fillId="8" borderId="0" xfId="1" applyNumberFormat="1" applyFont="1" applyFill="1" applyAlignment="1">
      <alignment horizontal="right" vertical="center"/>
    </xf>
    <xf numFmtId="171" fontId="29" fillId="8" borderId="9" xfId="1" applyNumberFormat="1" applyFont="1" applyFill="1" applyBorder="1" applyAlignment="1">
      <alignment horizontal="right" vertical="center"/>
    </xf>
    <xf numFmtId="0" fontId="29" fillId="8" borderId="0" xfId="0" applyFont="1" applyFill="1" applyAlignment="1">
      <alignment vertical="center" wrapText="1"/>
    </xf>
    <xf numFmtId="170" fontId="0" fillId="8" borderId="13" xfId="1" applyNumberFormat="1" applyFont="1" applyFill="1" applyBorder="1" applyAlignment="1">
      <alignment horizontal="right" vertical="center"/>
    </xf>
    <xf numFmtId="0" fontId="32" fillId="0" borderId="0" xfId="12" applyFont="1" applyAlignment="1">
      <alignment horizontal="center"/>
    </xf>
    <xf numFmtId="0" fontId="32" fillId="0" borderId="0" xfId="12" applyFont="1" applyAlignment="1">
      <alignment horizontal="center" vertical="center"/>
    </xf>
    <xf numFmtId="0" fontId="32" fillId="0" borderId="0" xfId="12" applyFont="1"/>
    <xf numFmtId="0" fontId="33" fillId="0" borderId="0" xfId="12" applyFont="1" applyAlignment="1">
      <alignment horizontal="right"/>
    </xf>
    <xf numFmtId="0" fontId="34" fillId="0" borderId="0" xfId="12" applyFont="1"/>
    <xf numFmtId="0" fontId="35" fillId="0" borderId="0" xfId="12" applyFont="1"/>
    <xf numFmtId="0" fontId="32" fillId="0" borderId="0" xfId="12" applyFont="1" applyAlignment="1">
      <alignment horizontal="right"/>
    </xf>
    <xf numFmtId="0" fontId="21" fillId="4" borderId="1" xfId="0" applyFont="1" applyFill="1" applyBorder="1" applyAlignment="1">
      <alignment wrapText="1"/>
    </xf>
    <xf numFmtId="0" fontId="21" fillId="5" borderId="1" xfId="0" applyFont="1" applyFill="1" applyBorder="1" applyAlignment="1">
      <alignment wrapText="1"/>
    </xf>
    <xf numFmtId="0" fontId="23" fillId="0" borderId="3" xfId="2" applyFont="1" applyBorder="1" applyAlignment="1">
      <alignment horizontal="left" wrapText="1"/>
    </xf>
    <xf numFmtId="0" fontId="24" fillId="0" borderId="0" xfId="0" applyFont="1" applyAlignment="1">
      <alignment wrapText="1"/>
    </xf>
    <xf numFmtId="0" fontId="25" fillId="4" borderId="1" xfId="0" applyFont="1" applyFill="1" applyBorder="1" applyAlignment="1">
      <alignment wrapText="1"/>
    </xf>
    <xf numFmtId="0" fontId="39" fillId="4" borderId="20" xfId="0" applyFont="1" applyFill="1" applyBorder="1" applyAlignment="1">
      <alignment wrapText="1"/>
    </xf>
    <xf numFmtId="17" fontId="38" fillId="4" borderId="21" xfId="0" applyNumberFormat="1" applyFont="1" applyFill="1" applyBorder="1" applyAlignment="1">
      <alignment horizontal="center"/>
    </xf>
    <xf numFmtId="17" fontId="38" fillId="5" borderId="21" xfId="4" applyNumberFormat="1" applyFont="1" applyFill="1" applyBorder="1" applyAlignment="1">
      <alignment horizontal="center"/>
    </xf>
    <xf numFmtId="0" fontId="38" fillId="5" borderId="20" xfId="0" applyFont="1" applyFill="1" applyBorder="1" applyAlignment="1">
      <alignment wrapText="1"/>
    </xf>
    <xf numFmtId="0" fontId="25" fillId="13" borderId="20" xfId="4" applyFont="1" applyFill="1" applyBorder="1" applyAlignment="1">
      <alignment wrapText="1"/>
    </xf>
    <xf numFmtId="17" fontId="38" fillId="13" borderId="21" xfId="4" applyNumberFormat="1" applyFont="1" applyFill="1" applyBorder="1" applyAlignment="1">
      <alignment horizontal="center"/>
    </xf>
    <xf numFmtId="0" fontId="26" fillId="14" borderId="22" xfId="4" applyFont="1" applyFill="1" applyBorder="1" applyAlignment="1">
      <alignment wrapText="1"/>
    </xf>
    <xf numFmtId="167" fontId="22" fillId="14" borderId="23" xfId="4" applyNumberFormat="1" applyFill="1" applyBorder="1"/>
    <xf numFmtId="0" fontId="10" fillId="0" borderId="0" xfId="16"/>
    <xf numFmtId="44" fontId="0" fillId="0" borderId="0" xfId="17" applyFont="1"/>
    <xf numFmtId="9" fontId="10" fillId="0" borderId="0" xfId="16" applyNumberFormat="1"/>
    <xf numFmtId="173" fontId="41" fillId="15" borderId="25" xfId="18" applyNumberFormat="1" applyFont="1" applyFill="1" applyBorder="1" applyAlignment="1">
      <alignment vertical="center" wrapText="1"/>
    </xf>
    <xf numFmtId="174" fontId="41" fillId="15" borderId="26" xfId="18" applyNumberFormat="1" applyFont="1" applyFill="1" applyBorder="1" applyAlignment="1">
      <alignment vertical="center" wrapText="1"/>
    </xf>
    <xf numFmtId="174" fontId="41" fillId="15" borderId="25" xfId="18" applyNumberFormat="1" applyFont="1" applyFill="1" applyBorder="1" applyAlignment="1">
      <alignment vertical="center" wrapText="1"/>
    </xf>
    <xf numFmtId="0" fontId="42" fillId="16" borderId="27" xfId="18" applyFont="1" applyFill="1" applyBorder="1" applyAlignment="1">
      <alignment vertical="center"/>
    </xf>
    <xf numFmtId="173" fontId="43" fillId="15" borderId="28" xfId="18" applyNumberFormat="1" applyFont="1" applyFill="1" applyBorder="1" applyAlignment="1">
      <alignment vertical="center" wrapText="1"/>
    </xf>
    <xf numFmtId="174" fontId="43" fillId="15" borderId="29" xfId="18" applyNumberFormat="1" applyFont="1" applyFill="1" applyBorder="1" applyAlignment="1">
      <alignment vertical="center" wrapText="1"/>
    </xf>
    <xf numFmtId="174" fontId="43" fillId="15" borderId="28" xfId="18" applyNumberFormat="1" applyFont="1" applyFill="1" applyBorder="1" applyAlignment="1">
      <alignment vertical="center" wrapText="1"/>
    </xf>
    <xf numFmtId="0" fontId="44" fillId="16" borderId="30" xfId="18" applyFont="1" applyFill="1" applyBorder="1" applyAlignment="1">
      <alignment vertical="center"/>
    </xf>
    <xf numFmtId="9" fontId="43" fillId="15" borderId="28" xfId="19" applyFont="1" applyFill="1" applyBorder="1" applyAlignment="1" applyProtection="1">
      <alignment horizontal="center" vertical="center" wrapText="1"/>
    </xf>
    <xf numFmtId="9" fontId="43" fillId="17" borderId="29" xfId="19" applyFont="1" applyFill="1" applyBorder="1" applyAlignment="1" applyProtection="1">
      <alignment horizontal="center" vertical="center" wrapText="1"/>
      <protection locked="0"/>
    </xf>
    <xf numFmtId="9" fontId="45" fillId="17" borderId="29" xfId="19" applyFont="1" applyFill="1" applyBorder="1" applyAlignment="1" applyProtection="1">
      <alignment horizontal="center" vertical="center" wrapText="1"/>
      <protection locked="0"/>
    </xf>
    <xf numFmtId="0" fontId="44" fillId="18" borderId="30" xfId="18" applyFont="1" applyFill="1" applyBorder="1" applyAlignment="1">
      <alignment horizontal="left" vertical="center"/>
    </xf>
    <xf numFmtId="1" fontId="43" fillId="19" borderId="31" xfId="18" applyNumberFormat="1" applyFont="1" applyFill="1" applyBorder="1" applyAlignment="1">
      <alignment horizontal="center" vertical="center" wrapText="1"/>
    </xf>
    <xf numFmtId="1" fontId="43" fillId="17" borderId="32" xfId="18" applyNumberFormat="1" applyFont="1" applyFill="1" applyBorder="1" applyAlignment="1" applyProtection="1">
      <alignment horizontal="center" vertical="center" wrapText="1"/>
      <protection locked="0"/>
    </xf>
    <xf numFmtId="0" fontId="44" fillId="16" borderId="33" xfId="18" applyFont="1" applyFill="1" applyBorder="1" applyAlignment="1">
      <alignment horizontal="left" vertical="center"/>
    </xf>
    <xf numFmtId="49" fontId="43" fillId="19" borderId="25" xfId="18" applyNumberFormat="1" applyFont="1" applyFill="1" applyBorder="1" applyAlignment="1">
      <alignment horizontal="right" vertical="center" wrapText="1"/>
    </xf>
    <xf numFmtId="49" fontId="43" fillId="17" borderId="26" xfId="18" applyNumberFormat="1" applyFont="1" applyFill="1" applyBorder="1" applyAlignment="1" applyProtection="1">
      <alignment horizontal="right" vertical="center" wrapText="1"/>
      <protection locked="0"/>
    </xf>
    <xf numFmtId="0" fontId="44" fillId="16" borderId="27" xfId="18" applyFont="1" applyFill="1" applyBorder="1" applyAlignment="1">
      <alignment horizontal="left" vertical="center"/>
    </xf>
    <xf numFmtId="10" fontId="46" fillId="10" borderId="34" xfId="20" applyNumberFormat="1" applyFont="1" applyFill="1" applyBorder="1" applyAlignment="1" applyProtection="1">
      <alignment horizontal="right" vertical="center" wrapText="1"/>
      <protection locked="0"/>
    </xf>
    <xf numFmtId="10" fontId="43" fillId="17" borderId="29" xfId="18" applyNumberFormat="1" applyFont="1" applyFill="1" applyBorder="1" applyAlignment="1" applyProtection="1">
      <alignment horizontal="right" vertical="center" wrapText="1"/>
      <protection locked="0"/>
    </xf>
    <xf numFmtId="0" fontId="44" fillId="16" borderId="30" xfId="18" applyFont="1" applyFill="1" applyBorder="1" applyAlignment="1">
      <alignment horizontal="left" vertical="center"/>
    </xf>
    <xf numFmtId="172" fontId="10" fillId="0" borderId="0" xfId="16" applyNumberFormat="1"/>
    <xf numFmtId="174" fontId="43" fillId="20" borderId="26" xfId="18" applyNumberFormat="1" applyFont="1" applyFill="1" applyBorder="1" applyAlignment="1" applyProtection="1">
      <alignment vertical="center" wrapText="1"/>
      <protection locked="0"/>
    </xf>
    <xf numFmtId="0" fontId="44" fillId="18" borderId="35" xfId="18" applyFont="1" applyFill="1" applyBorder="1" applyAlignment="1">
      <alignment horizontal="left" vertical="center"/>
    </xf>
    <xf numFmtId="174" fontId="43" fillId="17" borderId="32" xfId="18" applyNumberFormat="1" applyFont="1" applyFill="1" applyBorder="1" applyAlignment="1" applyProtection="1">
      <alignment vertical="center" wrapText="1"/>
      <protection locked="0"/>
    </xf>
    <xf numFmtId="0" fontId="44" fillId="16" borderId="33" xfId="18" applyFont="1" applyFill="1" applyBorder="1" applyAlignment="1">
      <alignment vertical="center"/>
    </xf>
    <xf numFmtId="174" fontId="43" fillId="17" borderId="29" xfId="18" applyNumberFormat="1" applyFont="1" applyFill="1" applyBorder="1" applyAlignment="1" applyProtection="1">
      <alignment vertical="center" wrapText="1"/>
      <protection locked="0"/>
    </xf>
    <xf numFmtId="9" fontId="43" fillId="15" borderId="28" xfId="20" applyFont="1" applyFill="1" applyBorder="1" applyAlignment="1" applyProtection="1">
      <alignment vertical="center" wrapText="1"/>
    </xf>
    <xf numFmtId="0" fontId="44" fillId="16" borderId="36" xfId="18" applyFont="1" applyFill="1" applyBorder="1" applyAlignment="1">
      <alignment vertical="center"/>
    </xf>
    <xf numFmtId="174" fontId="41" fillId="15" borderId="37" xfId="18" applyNumberFormat="1" applyFont="1" applyFill="1" applyBorder="1" applyAlignment="1">
      <alignment vertical="center" wrapText="1"/>
    </xf>
    <xf numFmtId="174" fontId="41" fillId="15" borderId="38" xfId="18" applyNumberFormat="1" applyFont="1" applyFill="1" applyBorder="1" applyAlignment="1">
      <alignment vertical="center" wrapText="1"/>
    </xf>
    <xf numFmtId="0" fontId="42" fillId="16" borderId="39" xfId="18" applyFont="1" applyFill="1" applyBorder="1" applyAlignment="1">
      <alignment vertical="center"/>
    </xf>
    <xf numFmtId="174" fontId="41" fillId="15" borderId="40" xfId="18" applyNumberFormat="1" applyFont="1" applyFill="1" applyBorder="1" applyAlignment="1">
      <alignment horizontal="right" vertical="center" wrapText="1"/>
    </xf>
    <xf numFmtId="175" fontId="47" fillId="17" borderId="41" xfId="18" applyNumberFormat="1" applyFont="1" applyFill="1" applyBorder="1" applyAlignment="1" applyProtection="1">
      <alignment horizontal="right" vertical="center" wrapText="1"/>
      <protection locked="0"/>
    </xf>
    <xf numFmtId="0" fontId="48" fillId="18" borderId="36" xfId="18" applyFont="1" applyFill="1" applyBorder="1" applyAlignment="1">
      <alignment vertical="center"/>
    </xf>
    <xf numFmtId="174" fontId="43" fillId="15" borderId="28" xfId="18" applyNumberFormat="1" applyFont="1" applyFill="1" applyBorder="1" applyAlignment="1">
      <alignment horizontal="right" vertical="center" wrapText="1"/>
    </xf>
    <xf numFmtId="175" fontId="49" fillId="17" borderId="29" xfId="18" applyNumberFormat="1" applyFont="1" applyFill="1" applyBorder="1" applyAlignment="1" applyProtection="1">
      <alignment horizontal="right" vertical="center" wrapText="1"/>
      <protection locked="0"/>
    </xf>
    <xf numFmtId="0" fontId="44" fillId="18" borderId="36" xfId="18" applyFont="1" applyFill="1" applyBorder="1" applyAlignment="1">
      <alignment vertical="center"/>
    </xf>
    <xf numFmtId="174" fontId="10" fillId="0" borderId="0" xfId="16" applyNumberFormat="1"/>
    <xf numFmtId="176" fontId="50" fillId="10" borderId="28" xfId="18" applyNumberFormat="1" applyFont="1" applyFill="1" applyBorder="1" applyAlignment="1">
      <alignment vertical="center" wrapText="1"/>
    </xf>
    <xf numFmtId="176" fontId="50" fillId="20" borderId="29" xfId="18" applyNumberFormat="1" applyFont="1" applyFill="1" applyBorder="1" applyAlignment="1" applyProtection="1">
      <alignment vertical="center" wrapText="1"/>
      <protection locked="0"/>
    </xf>
    <xf numFmtId="0" fontId="51" fillId="20" borderId="36" xfId="18" applyFont="1" applyFill="1" applyBorder="1" applyAlignment="1">
      <alignment vertical="center"/>
    </xf>
    <xf numFmtId="172" fontId="28" fillId="0" borderId="0" xfId="17" applyNumberFormat="1" applyFont="1" applyFill="1"/>
    <xf numFmtId="172" fontId="0" fillId="0" borderId="0" xfId="17" applyNumberFormat="1" applyFont="1"/>
    <xf numFmtId="175" fontId="10" fillId="0" borderId="0" xfId="16" applyNumberFormat="1"/>
    <xf numFmtId="176" fontId="50" fillId="15" borderId="42" xfId="18" applyNumberFormat="1" applyFont="1" applyFill="1" applyBorder="1" applyAlignment="1">
      <alignment vertical="center" wrapText="1"/>
    </xf>
    <xf numFmtId="176" fontId="50" fillId="20" borderId="43" xfId="18" applyNumberFormat="1" applyFont="1" applyFill="1" applyBorder="1" applyAlignment="1" applyProtection="1">
      <alignment vertical="center" wrapText="1"/>
      <protection locked="0"/>
    </xf>
    <xf numFmtId="0" fontId="51" fillId="20" borderId="44" xfId="18" applyFont="1" applyFill="1" applyBorder="1" applyAlignment="1">
      <alignment vertical="center"/>
    </xf>
    <xf numFmtId="10" fontId="43" fillId="19" borderId="28" xfId="19" applyNumberFormat="1" applyFont="1" applyFill="1" applyBorder="1" applyAlignment="1" applyProtection="1">
      <alignment vertical="center" wrapText="1"/>
    </xf>
    <xf numFmtId="177" fontId="43" fillId="17" borderId="29" xfId="21" applyNumberFormat="1" applyFont="1" applyFill="1" applyBorder="1" applyAlignment="1" applyProtection="1">
      <alignment vertical="center" wrapText="1"/>
      <protection locked="0"/>
    </xf>
    <xf numFmtId="0" fontId="51" fillId="16" borderId="30" xfId="18" applyFont="1" applyFill="1" applyBorder="1" applyAlignment="1">
      <alignment vertical="center"/>
    </xf>
    <xf numFmtId="174" fontId="47" fillId="15" borderId="25" xfId="18" applyNumberFormat="1" applyFont="1" applyFill="1" applyBorder="1" applyAlignment="1">
      <alignment horizontal="right" vertical="center" wrapText="1"/>
    </xf>
    <xf numFmtId="174" fontId="47" fillId="15" borderId="1" xfId="18" applyNumberFormat="1" applyFont="1" applyFill="1" applyBorder="1" applyAlignment="1">
      <alignment vertical="center" wrapText="1"/>
    </xf>
    <xf numFmtId="0" fontId="51" fillId="16" borderId="27" xfId="18" applyFont="1" applyFill="1" applyBorder="1" applyAlignment="1">
      <alignment vertical="center"/>
    </xf>
    <xf numFmtId="174" fontId="47" fillId="15" borderId="28" xfId="18" applyNumberFormat="1" applyFont="1" applyFill="1" applyBorder="1" applyAlignment="1">
      <alignment horizontal="right" vertical="center" wrapText="1"/>
    </xf>
    <xf numFmtId="174" fontId="43" fillId="17" borderId="45" xfId="18" applyNumberFormat="1" applyFont="1" applyFill="1" applyBorder="1" applyAlignment="1" applyProtection="1">
      <alignment horizontal="right" vertical="center" wrapText="1"/>
      <protection locked="0"/>
    </xf>
    <xf numFmtId="174" fontId="43" fillId="17" borderId="46" xfId="18" applyNumberFormat="1" applyFont="1" applyFill="1" applyBorder="1" applyAlignment="1" applyProtection="1">
      <alignment horizontal="right" vertical="center" wrapText="1"/>
      <protection locked="0"/>
    </xf>
    <xf numFmtId="174" fontId="43" fillId="17" borderId="47" xfId="18" applyNumberFormat="1" applyFont="1" applyFill="1" applyBorder="1" applyAlignment="1" applyProtection="1">
      <alignment horizontal="right" vertical="center" wrapText="1"/>
      <protection locked="0"/>
    </xf>
    <xf numFmtId="0" fontId="44" fillId="18" borderId="27" xfId="18" applyFont="1" applyFill="1" applyBorder="1" applyAlignment="1">
      <alignment vertical="center"/>
    </xf>
    <xf numFmtId="0" fontId="44" fillId="18" borderId="30" xfId="18" applyFont="1" applyFill="1" applyBorder="1" applyAlignment="1">
      <alignment vertical="center"/>
    </xf>
    <xf numFmtId="174" fontId="47" fillId="20" borderId="36" xfId="18" applyNumberFormat="1" applyFont="1" applyFill="1" applyBorder="1" applyAlignment="1" applyProtection="1">
      <alignment horizontal="right" vertical="center" wrapText="1"/>
      <protection locked="0"/>
    </xf>
    <xf numFmtId="0" fontId="51" fillId="18" borderId="30" xfId="18" applyFont="1" applyFill="1" applyBorder="1" applyAlignment="1">
      <alignment vertical="center"/>
    </xf>
    <xf numFmtId="174" fontId="47" fillId="15" borderId="46" xfId="18" applyNumberFormat="1" applyFont="1" applyFill="1" applyBorder="1" applyAlignment="1">
      <alignment horizontal="right" vertical="center" wrapText="1"/>
    </xf>
    <xf numFmtId="0" fontId="51" fillId="16" borderId="36" xfId="18" applyFont="1" applyFill="1" applyBorder="1" applyAlignment="1">
      <alignment vertical="center"/>
    </xf>
    <xf numFmtId="175" fontId="47" fillId="17" borderId="29" xfId="18" applyNumberFormat="1" applyFont="1" applyFill="1" applyBorder="1" applyAlignment="1" applyProtection="1">
      <alignment horizontal="right" vertical="center" wrapText="1"/>
      <protection locked="0"/>
    </xf>
    <xf numFmtId="175" fontId="47" fillId="15" borderId="42" xfId="18" applyNumberFormat="1" applyFont="1" applyFill="1" applyBorder="1" applyAlignment="1">
      <alignment horizontal="center" vertical="center" wrapText="1"/>
    </xf>
    <xf numFmtId="175" fontId="47" fillId="17" borderId="32" xfId="18" applyNumberFormat="1" applyFont="1" applyFill="1" applyBorder="1" applyAlignment="1" applyProtection="1">
      <alignment horizontal="right" vertical="center" wrapText="1"/>
      <protection locked="0"/>
    </xf>
    <xf numFmtId="49" fontId="47" fillId="19" borderId="28" xfId="18" applyNumberFormat="1" applyFont="1" applyFill="1" applyBorder="1" applyAlignment="1">
      <alignment horizontal="right" vertical="center" wrapText="1"/>
    </xf>
    <xf numFmtId="49" fontId="47" fillId="17" borderId="29" xfId="18" applyNumberFormat="1" applyFont="1" applyFill="1" applyBorder="1" applyAlignment="1" applyProtection="1">
      <alignment horizontal="center" vertical="center" wrapText="1"/>
      <protection locked="0"/>
    </xf>
    <xf numFmtId="0" fontId="47" fillId="15" borderId="42" xfId="18" applyFont="1" applyFill="1" applyBorder="1" applyAlignment="1">
      <alignment horizontal="center" vertical="center" wrapText="1"/>
    </xf>
    <xf numFmtId="0" fontId="47" fillId="17" borderId="43" xfId="18" applyFont="1" applyFill="1" applyBorder="1" applyAlignment="1" applyProtection="1">
      <alignment horizontal="center" vertical="center" wrapText="1"/>
      <protection locked="0"/>
    </xf>
    <xf numFmtId="0" fontId="48" fillId="18" borderId="35" xfId="18" applyFont="1" applyFill="1" applyBorder="1" applyAlignment="1">
      <alignment vertical="center"/>
    </xf>
    <xf numFmtId="49" fontId="43" fillId="19" borderId="28" xfId="18" applyNumberFormat="1" applyFont="1" applyFill="1" applyBorder="1" applyAlignment="1">
      <alignment horizontal="left" vertical="center" wrapText="1"/>
    </xf>
    <xf numFmtId="49" fontId="43" fillId="17" borderId="26" xfId="18" applyNumberFormat="1" applyFont="1" applyFill="1" applyBorder="1" applyAlignment="1" applyProtection="1">
      <alignment horizontal="left" vertical="center" wrapText="1"/>
      <protection locked="0"/>
    </xf>
    <xf numFmtId="0" fontId="48" fillId="18" borderId="27" xfId="18" applyFont="1" applyFill="1" applyBorder="1" applyAlignment="1">
      <alignment horizontal="left" vertical="center"/>
    </xf>
    <xf numFmtId="49" fontId="43" fillId="17" borderId="29" xfId="18" applyNumberFormat="1" applyFont="1" applyFill="1" applyBorder="1" applyAlignment="1" applyProtection="1">
      <alignment horizontal="left" vertical="center" wrapText="1"/>
      <protection locked="0"/>
    </xf>
    <xf numFmtId="0" fontId="48" fillId="18" borderId="30" xfId="18" applyFont="1" applyFill="1" applyBorder="1" applyAlignment="1">
      <alignment horizontal="left" vertical="center"/>
    </xf>
    <xf numFmtId="49" fontId="43" fillId="19" borderId="48" xfId="18" applyNumberFormat="1" applyFont="1" applyFill="1" applyBorder="1" applyAlignment="1">
      <alignment horizontal="left" vertical="center" wrapText="1"/>
    </xf>
    <xf numFmtId="49" fontId="43" fillId="17" borderId="49" xfId="18" applyNumberFormat="1" applyFont="1" applyFill="1" applyBorder="1" applyAlignment="1" applyProtection="1">
      <alignment horizontal="left" vertical="center" wrapText="1"/>
      <protection locked="0"/>
    </xf>
    <xf numFmtId="0" fontId="48" fillId="18" borderId="50" xfId="18" applyFont="1" applyFill="1" applyBorder="1" applyAlignment="1">
      <alignment horizontal="left" vertical="center"/>
    </xf>
    <xf numFmtId="0" fontId="52" fillId="0" borderId="51" xfId="18" applyFont="1" applyBorder="1" applyAlignment="1">
      <alignment horizontal="center" vertical="center" wrapText="1"/>
    </xf>
    <xf numFmtId="0" fontId="43" fillId="0" borderId="51" xfId="18" applyFont="1" applyBorder="1" applyAlignment="1">
      <alignment horizontal="center" vertical="center" wrapText="1"/>
    </xf>
    <xf numFmtId="0" fontId="45" fillId="0" borderId="51" xfId="18" applyFont="1" applyBorder="1" applyAlignment="1">
      <alignment horizontal="center" vertical="center" wrapText="1"/>
    </xf>
    <xf numFmtId="49" fontId="53" fillId="17" borderId="52" xfId="18" applyNumberFormat="1" applyFont="1" applyFill="1" applyBorder="1" applyAlignment="1" applyProtection="1">
      <alignment horizontal="left" vertical="center" wrapText="1"/>
      <protection locked="0"/>
    </xf>
    <xf numFmtId="0" fontId="40" fillId="0" borderId="0" xfId="22"/>
    <xf numFmtId="0" fontId="54" fillId="0" borderId="0" xfId="18" applyFont="1" applyAlignment="1">
      <alignment horizontal="left" vertical="center"/>
    </xf>
    <xf numFmtId="0" fontId="54" fillId="0" borderId="0" xfId="18" applyFont="1" applyAlignment="1">
      <alignment vertical="center"/>
    </xf>
    <xf numFmtId="0" fontId="29" fillId="8" borderId="0" xfId="0" applyFont="1" applyFill="1" applyAlignment="1">
      <alignment horizontal="left" vertical="center" wrapText="1"/>
    </xf>
    <xf numFmtId="171" fontId="29" fillId="11" borderId="9" xfId="1" applyNumberFormat="1" applyFont="1" applyFill="1" applyBorder="1" applyAlignment="1">
      <alignment horizontal="right" vertical="center"/>
    </xf>
    <xf numFmtId="171" fontId="56" fillId="8" borderId="9" xfId="1" applyNumberFormat="1" applyFont="1" applyFill="1" applyBorder="1" applyAlignment="1">
      <alignment horizontal="right" vertical="center"/>
    </xf>
    <xf numFmtId="0" fontId="59" fillId="9" borderId="6" xfId="0" applyFont="1" applyFill="1" applyBorder="1" applyAlignment="1">
      <alignment horizontal="center" vertical="center"/>
    </xf>
    <xf numFmtId="0" fontId="57" fillId="11" borderId="6" xfId="0" applyFont="1" applyFill="1" applyBorder="1" applyAlignment="1">
      <alignment vertical="center"/>
    </xf>
    <xf numFmtId="170" fontId="57" fillId="0" borderId="52" xfId="1" applyNumberFormat="1" applyFont="1" applyBorder="1" applyAlignment="1">
      <alignment horizontal="right" vertical="center"/>
    </xf>
    <xf numFmtId="0" fontId="59" fillId="9" borderId="0" xfId="0" applyFont="1" applyFill="1" applyAlignment="1">
      <alignment horizontal="center" vertical="center"/>
    </xf>
    <xf numFmtId="170" fontId="59" fillId="9" borderId="0" xfId="1" applyNumberFormat="1" applyFont="1" applyFill="1" applyBorder="1" applyAlignment="1">
      <alignment horizontal="center" vertical="center"/>
    </xf>
    <xf numFmtId="0" fontId="0" fillId="21" borderId="0" xfId="0" applyFill="1" applyAlignment="1">
      <alignment horizontal="left" vertical="center"/>
    </xf>
    <xf numFmtId="0" fontId="60" fillId="9" borderId="54" xfId="0" applyFont="1" applyFill="1" applyBorder="1" applyAlignment="1">
      <alignment vertical="center"/>
    </xf>
    <xf numFmtId="0" fontId="0" fillId="9" borderId="55" xfId="0" applyFill="1" applyBorder="1" applyAlignment="1">
      <alignment vertical="center"/>
    </xf>
    <xf numFmtId="0" fontId="29" fillId="8" borderId="0" xfId="0" applyFont="1" applyFill="1" applyAlignment="1">
      <alignment horizontal="left" vertical="top"/>
    </xf>
    <xf numFmtId="0" fontId="29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170" fontId="0" fillId="8" borderId="0" xfId="1" applyNumberFormat="1" applyFont="1" applyFill="1" applyBorder="1" applyAlignment="1">
      <alignment horizontal="right" vertical="center"/>
    </xf>
    <xf numFmtId="0" fontId="60" fillId="22" borderId="54" xfId="0" applyFont="1" applyFill="1" applyBorder="1" applyAlignment="1">
      <alignment vertical="center"/>
    </xf>
    <xf numFmtId="171" fontId="59" fillId="11" borderId="0" xfId="1" applyNumberFormat="1" applyFont="1" applyFill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33" fillId="24" borderId="0" xfId="12" applyFont="1" applyFill="1" applyAlignment="1">
      <alignment horizontal="left"/>
    </xf>
    <xf numFmtId="0" fontId="33" fillId="24" borderId="0" xfId="12" applyFont="1" applyFill="1"/>
    <xf numFmtId="0" fontId="61" fillId="0" borderId="0" xfId="12" applyFont="1"/>
    <xf numFmtId="0" fontId="33" fillId="0" borderId="0" xfId="12" applyFont="1" applyAlignment="1">
      <alignment wrapText="1"/>
    </xf>
    <xf numFmtId="0" fontId="63" fillId="0" borderId="0" xfId="12" applyFont="1"/>
    <xf numFmtId="0" fontId="32" fillId="25" borderId="6" xfId="12" applyFont="1" applyFill="1" applyBorder="1" applyAlignment="1">
      <alignment horizontal="right"/>
    </xf>
    <xf numFmtId="10" fontId="32" fillId="25" borderId="9" xfId="15" applyNumberFormat="1" applyFont="1" applyFill="1" applyBorder="1"/>
    <xf numFmtId="0" fontId="32" fillId="25" borderId="12" xfId="12" applyFont="1" applyFill="1" applyBorder="1" applyAlignment="1">
      <alignment horizontal="right"/>
    </xf>
    <xf numFmtId="10" fontId="32" fillId="25" borderId="14" xfId="15" applyNumberFormat="1" applyFont="1" applyFill="1" applyBorder="1"/>
    <xf numFmtId="0" fontId="31" fillId="22" borderId="6" xfId="0" applyFont="1" applyFill="1" applyBorder="1" applyAlignment="1">
      <alignment horizontal="center" vertical="center"/>
    </xf>
    <xf numFmtId="0" fontId="31" fillId="22" borderId="0" xfId="0" applyFont="1" applyFill="1" applyAlignment="1">
      <alignment horizontal="center" vertical="center"/>
    </xf>
    <xf numFmtId="170" fontId="31" fillId="22" borderId="0" xfId="1" applyNumberFormat="1" applyFont="1" applyFill="1" applyBorder="1" applyAlignment="1">
      <alignment horizontal="center" vertical="center"/>
    </xf>
    <xf numFmtId="0" fontId="64" fillId="0" borderId="0" xfId="0" applyFont="1"/>
    <xf numFmtId="171" fontId="0" fillId="0" borderId="7" xfId="1" applyNumberFormat="1" applyFont="1" applyBorder="1" applyAlignment="1">
      <alignment horizontal="right" vertical="center"/>
    </xf>
    <xf numFmtId="0" fontId="28" fillId="0" borderId="7" xfId="0" applyFont="1" applyBorder="1" applyAlignment="1">
      <alignment horizontal="center" vertical="center"/>
    </xf>
    <xf numFmtId="170" fontId="22" fillId="11" borderId="0" xfId="1" applyNumberFormat="1" applyFont="1" applyFill="1" applyBorder="1" applyAlignment="1">
      <alignment horizontal="left" vertical="center"/>
    </xf>
    <xf numFmtId="179" fontId="29" fillId="8" borderId="0" xfId="0" applyNumberFormat="1" applyFont="1" applyFill="1" applyAlignment="1">
      <alignment vertical="center" wrapText="1"/>
    </xf>
    <xf numFmtId="179" fontId="15" fillId="11" borderId="0" xfId="1" applyNumberFormat="1" applyFill="1" applyBorder="1" applyAlignment="1">
      <alignment vertical="center"/>
    </xf>
    <xf numFmtId="9" fontId="33" fillId="0" borderId="0" xfId="15" applyFont="1" applyAlignment="1">
      <alignment horizontal="center" vertical="center"/>
    </xf>
    <xf numFmtId="9" fontId="32" fillId="0" borderId="0" xfId="15" applyFont="1" applyAlignment="1">
      <alignment horizontal="center"/>
    </xf>
    <xf numFmtId="179" fontId="33" fillId="0" borderId="0" xfId="1" applyNumberFormat="1" applyFont="1" applyAlignment="1">
      <alignment horizontal="center" vertical="center" wrapText="1"/>
    </xf>
    <xf numFmtId="179" fontId="33" fillId="0" borderId="0" xfId="1" applyNumberFormat="1" applyFont="1" applyAlignment="1">
      <alignment horizontal="center" vertical="center"/>
    </xf>
    <xf numFmtId="179" fontId="32" fillId="0" borderId="0" xfId="1" applyNumberFormat="1" applyFont="1"/>
    <xf numFmtId="179" fontId="32" fillId="0" borderId="0" xfId="1" applyNumberFormat="1" applyFont="1" applyProtection="1">
      <protection locked="0"/>
    </xf>
    <xf numFmtId="179" fontId="32" fillId="0" borderId="19" xfId="1" applyNumberFormat="1" applyFont="1" applyBorder="1"/>
    <xf numFmtId="179" fontId="33" fillId="0" borderId="0" xfId="1" applyNumberFormat="1" applyFont="1"/>
    <xf numFmtId="0" fontId="57" fillId="0" borderId="0" xfId="0" applyFont="1"/>
    <xf numFmtId="0" fontId="22" fillId="0" borderId="0" xfId="0" applyFont="1"/>
    <xf numFmtId="179" fontId="22" fillId="2" borderId="0" xfId="1" applyNumberFormat="1" applyFont="1" applyFill="1"/>
    <xf numFmtId="179" fontId="17" fillId="0" borderId="2" xfId="1" applyNumberFormat="1" applyFont="1" applyBorder="1"/>
    <xf numFmtId="179" fontId="22" fillId="3" borderId="0" xfId="1" applyNumberFormat="1" applyFont="1" applyFill="1"/>
    <xf numFmtId="179" fontId="17" fillId="0" borderId="3" xfId="1" applyNumberFormat="1" applyFont="1" applyBorder="1"/>
    <xf numFmtId="179" fontId="19" fillId="0" borderId="0" xfId="0" applyNumberFormat="1" applyFont="1"/>
    <xf numFmtId="179" fontId="17" fillId="0" borderId="0" xfId="1" applyNumberFormat="1" applyFont="1" applyBorder="1"/>
    <xf numFmtId="179" fontId="29" fillId="8" borderId="0" xfId="1" applyNumberFormat="1" applyFont="1" applyFill="1" applyBorder="1" applyAlignment="1">
      <alignment horizontal="right" vertical="center"/>
    </xf>
    <xf numFmtId="179" fontId="57" fillId="0" borderId="11" xfId="1" applyNumberFormat="1" applyFont="1" applyBorder="1" applyAlignment="1">
      <alignment horizontal="right" vertical="center"/>
    </xf>
    <xf numFmtId="179" fontId="21" fillId="4" borderId="1" xfId="0" applyNumberFormat="1" applyFont="1" applyFill="1" applyBorder="1"/>
    <xf numFmtId="0" fontId="29" fillId="21" borderId="0" xfId="0" applyFont="1" applyFill="1" applyAlignment="1">
      <alignment horizontal="left" vertical="top"/>
    </xf>
    <xf numFmtId="167" fontId="22" fillId="14" borderId="23" xfId="4" applyNumberFormat="1" applyFill="1" applyBorder="1" applyAlignment="1">
      <alignment wrapText="1"/>
    </xf>
    <xf numFmtId="14" fontId="22" fillId="0" borderId="0" xfId="0" applyNumberFormat="1" applyFont="1"/>
    <xf numFmtId="0" fontId="9" fillId="21" borderId="6" xfId="0" applyFont="1" applyFill="1" applyBorder="1" applyAlignment="1">
      <alignment vertical="center"/>
    </xf>
    <xf numFmtId="0" fontId="9" fillId="21" borderId="0" xfId="0" applyFont="1" applyFill="1" applyAlignment="1">
      <alignment horizontal="left" vertical="center"/>
    </xf>
    <xf numFmtId="0" fontId="9" fillId="0" borderId="8" xfId="0" applyFont="1" applyBorder="1" applyAlignment="1">
      <alignment vertical="center"/>
    </xf>
    <xf numFmtId="179" fontId="9" fillId="0" borderId="8" xfId="1" applyNumberFormat="1" applyFont="1" applyBorder="1" applyAlignment="1">
      <alignment horizontal="right" vertical="center"/>
    </xf>
    <xf numFmtId="0" fontId="9" fillId="21" borderId="0" xfId="0" applyFont="1" applyFill="1" applyAlignment="1">
      <alignment horizontal="center" vertical="center"/>
    </xf>
    <xf numFmtId="0" fontId="9" fillId="21" borderId="0" xfId="0" applyFont="1" applyFill="1" applyAlignment="1">
      <alignment vertical="center"/>
    </xf>
    <xf numFmtId="170" fontId="9" fillId="21" borderId="0" xfId="1" applyNumberFormat="1" applyFont="1" applyFill="1" applyBorder="1" applyAlignment="1">
      <alignment horizontal="right" vertical="center"/>
    </xf>
    <xf numFmtId="0" fontId="9" fillId="8" borderId="6" xfId="0" applyFont="1" applyFill="1" applyBorder="1" applyAlignment="1">
      <alignment vertical="center"/>
    </xf>
    <xf numFmtId="0" fontId="9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179" fontId="9" fillId="8" borderId="0" xfId="1" applyNumberFormat="1" applyFont="1" applyFill="1" applyBorder="1" applyAlignment="1">
      <alignment horizontal="right" vertical="center"/>
    </xf>
    <xf numFmtId="170" fontId="9" fillId="8" borderId="0" xfId="1" applyNumberFormat="1" applyFont="1" applyFill="1" applyBorder="1" applyAlignment="1">
      <alignment horizontal="right" vertical="center"/>
    </xf>
    <xf numFmtId="0" fontId="9" fillId="22" borderId="6" xfId="0" applyFont="1" applyFill="1" applyBorder="1" applyAlignment="1">
      <alignment vertical="center"/>
    </xf>
    <xf numFmtId="0" fontId="9" fillId="22" borderId="55" xfId="0" applyFont="1" applyFill="1" applyBorder="1" applyAlignment="1">
      <alignment vertical="center"/>
    </xf>
    <xf numFmtId="0" fontId="9" fillId="8" borderId="12" xfId="0" applyFont="1" applyFill="1" applyBorder="1" applyAlignment="1">
      <alignment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vertical="center"/>
    </xf>
    <xf numFmtId="170" fontId="9" fillId="8" borderId="13" xfId="1" applyNumberFormat="1" applyFont="1" applyFill="1" applyBorder="1" applyAlignment="1">
      <alignment horizontal="right" vertical="center"/>
    </xf>
    <xf numFmtId="179" fontId="21" fillId="5" borderId="1" xfId="0" applyNumberFormat="1" applyFont="1" applyFill="1" applyBorder="1"/>
    <xf numFmtId="179" fontId="38" fillId="5" borderId="58" xfId="0" applyNumberFormat="1" applyFont="1" applyFill="1" applyBorder="1"/>
    <xf numFmtId="0" fontId="57" fillId="0" borderId="0" xfId="0" applyFont="1" applyAlignment="1">
      <alignment horizontal="right"/>
    </xf>
    <xf numFmtId="0" fontId="23" fillId="0" borderId="0" xfId="2" applyFont="1" applyBorder="1" applyAlignment="1">
      <alignment horizontal="left" wrapText="1"/>
    </xf>
    <xf numFmtId="179" fontId="64" fillId="0" borderId="0" xfId="1" applyNumberFormat="1" applyFont="1"/>
    <xf numFmtId="0" fontId="64" fillId="0" borderId="0" xfId="0" applyFont="1" applyAlignment="1">
      <alignment horizontal="left" wrapText="1"/>
    </xf>
    <xf numFmtId="179" fontId="64" fillId="0" borderId="0" xfId="1" applyNumberFormat="1" applyFont="1" applyBorder="1"/>
    <xf numFmtId="0" fontId="23" fillId="0" borderId="2" xfId="2" applyFont="1" applyAlignment="1">
      <alignment wrapText="1"/>
    </xf>
    <xf numFmtId="0" fontId="19" fillId="0" borderId="0" xfId="0" applyFont="1" applyAlignment="1">
      <alignment horizontal="center"/>
    </xf>
    <xf numFmtId="9" fontId="19" fillId="0" borderId="0" xfId="15" applyFont="1" applyAlignment="1">
      <alignment horizontal="center"/>
    </xf>
    <xf numFmtId="171" fontId="59" fillId="9" borderId="0" xfId="1" applyNumberFormat="1" applyFont="1" applyFill="1" applyBorder="1" applyAlignment="1">
      <alignment horizontal="center" vertical="center"/>
    </xf>
    <xf numFmtId="171" fontId="9" fillId="21" borderId="0" xfId="1" applyNumberFormat="1" applyFont="1" applyFill="1" applyBorder="1" applyAlignment="1">
      <alignment horizontal="right" vertical="center"/>
    </xf>
    <xf numFmtId="171" fontId="28" fillId="6" borderId="4" xfId="1" applyNumberFormat="1" applyFont="1" applyFill="1" applyBorder="1" applyAlignment="1">
      <alignment horizontal="right" vertical="center"/>
    </xf>
    <xf numFmtId="171" fontId="28" fillId="6" borderId="16" xfId="1" applyNumberFormat="1" applyFont="1" applyFill="1" applyBorder="1" applyAlignment="1">
      <alignment horizontal="right" vertical="center"/>
    </xf>
    <xf numFmtId="171" fontId="31" fillId="22" borderId="0" xfId="1" applyNumberFormat="1" applyFont="1" applyFill="1" applyBorder="1" applyAlignment="1">
      <alignment horizontal="center" vertical="center"/>
    </xf>
    <xf numFmtId="178" fontId="29" fillId="8" borderId="0" xfId="0" applyNumberFormat="1" applyFont="1" applyFill="1" applyAlignment="1">
      <alignment vertical="center" wrapText="1"/>
    </xf>
    <xf numFmtId="178" fontId="29" fillId="8" borderId="0" xfId="1" applyNumberFormat="1" applyFont="1" applyFill="1" applyBorder="1" applyAlignment="1">
      <alignment horizontal="right" vertical="center"/>
    </xf>
    <xf numFmtId="171" fontId="29" fillId="8" borderId="0" xfId="1" applyNumberFormat="1" applyFont="1" applyFill="1" applyBorder="1" applyAlignment="1">
      <alignment horizontal="right" vertical="center"/>
    </xf>
    <xf numFmtId="171" fontId="28" fillId="8" borderId="0" xfId="1" applyNumberFormat="1" applyFont="1" applyFill="1" applyBorder="1" applyAlignment="1">
      <alignment horizontal="right" vertical="center"/>
    </xf>
    <xf numFmtId="171" fontId="28" fillId="8" borderId="13" xfId="1" applyNumberFormat="1" applyFont="1" applyFill="1" applyBorder="1" applyAlignment="1">
      <alignment horizontal="right" vertical="center"/>
    </xf>
    <xf numFmtId="178" fontId="15" fillId="11" borderId="0" xfId="1" applyNumberFormat="1" applyFill="1" applyBorder="1" applyAlignment="1">
      <alignment horizontal="right" vertical="center"/>
    </xf>
    <xf numFmtId="0" fontId="31" fillId="0" borderId="15" xfId="0" applyFont="1" applyBorder="1" applyAlignment="1">
      <alignment horizontal="center" vertical="center"/>
    </xf>
    <xf numFmtId="1" fontId="28" fillId="0" borderId="7" xfId="11" applyNumberFormat="1" applyFont="1" applyBorder="1" applyAlignment="1">
      <alignment horizontal="center" vertical="center"/>
    </xf>
    <xf numFmtId="171" fontId="0" fillId="0" borderId="7" xfId="1" applyNumberFormat="1" applyFont="1" applyBorder="1" applyAlignment="1">
      <alignment vertical="center"/>
    </xf>
    <xf numFmtId="171" fontId="9" fillId="0" borderId="7" xfId="1" applyNumberFormat="1" applyFont="1" applyBorder="1" applyAlignment="1">
      <alignment horizontal="right" vertical="center"/>
    </xf>
    <xf numFmtId="171" fontId="28" fillId="0" borderId="7" xfId="1" applyNumberFormat="1" applyFont="1" applyBorder="1" applyAlignment="1">
      <alignment horizontal="right" vertical="center"/>
    </xf>
    <xf numFmtId="171" fontId="28" fillId="0" borderId="7" xfId="1" applyNumberFormat="1" applyFont="1" applyBorder="1" applyAlignment="1">
      <alignment horizontal="center" vertical="center"/>
    </xf>
    <xf numFmtId="171" fontId="0" fillId="0" borderId="7" xfId="1" applyNumberFormat="1" applyFont="1" applyBorder="1" applyAlignment="1">
      <alignment horizontal="left" vertical="center"/>
    </xf>
    <xf numFmtId="0" fontId="0" fillId="10" borderId="7" xfId="0" applyFill="1" applyBorder="1"/>
    <xf numFmtId="178" fontId="0" fillId="23" borderId="7" xfId="1" applyNumberFormat="1" applyFont="1" applyFill="1" applyBorder="1"/>
    <xf numFmtId="49" fontId="22" fillId="0" borderId="0" xfId="11" applyNumberFormat="1" applyFont="1"/>
    <xf numFmtId="49" fontId="0" fillId="0" borderId="0" xfId="11" applyNumberFormat="1" applyFont="1"/>
    <xf numFmtId="0" fontId="22" fillId="0" borderId="2" xfId="2" applyFont="1" applyAlignment="1">
      <alignment horizontal="left"/>
    </xf>
    <xf numFmtId="49" fontId="22" fillId="0" borderId="0" xfId="0" applyNumberFormat="1" applyFont="1"/>
    <xf numFmtId="179" fontId="29" fillId="21" borderId="0" xfId="1" applyNumberFormat="1" applyFont="1" applyFill="1" applyAlignment="1">
      <alignment horizontal="right" vertical="center"/>
    </xf>
    <xf numFmtId="178" fontId="29" fillId="21" borderId="0" xfId="1" applyNumberFormat="1" applyFont="1" applyFill="1" applyAlignment="1">
      <alignment horizontal="right" vertical="center"/>
    </xf>
    <xf numFmtId="179" fontId="29" fillId="21" borderId="0" xfId="1" applyNumberFormat="1" applyFont="1" applyFill="1" applyBorder="1" applyAlignment="1">
      <alignment horizontal="right" vertical="center"/>
    </xf>
    <xf numFmtId="171" fontId="29" fillId="21" borderId="0" xfId="1" applyNumberFormat="1" applyFont="1" applyFill="1" applyBorder="1" applyAlignment="1">
      <alignment horizontal="right" vertical="center"/>
    </xf>
    <xf numFmtId="0" fontId="56" fillId="21" borderId="6" xfId="0" applyFont="1" applyFill="1" applyBorder="1" applyAlignment="1">
      <alignment vertical="center"/>
    </xf>
    <xf numFmtId="0" fontId="29" fillId="21" borderId="0" xfId="0" applyFont="1" applyFill="1" applyAlignment="1">
      <alignment horizontal="left" vertical="center"/>
    </xf>
    <xf numFmtId="0" fontId="29" fillId="21" borderId="0" xfId="0" applyFont="1" applyFill="1" applyAlignment="1">
      <alignment vertical="center"/>
    </xf>
    <xf numFmtId="0" fontId="29" fillId="26" borderId="6" xfId="0" applyFont="1" applyFill="1" applyBorder="1" applyAlignment="1">
      <alignment vertical="center"/>
    </xf>
    <xf numFmtId="0" fontId="29" fillId="21" borderId="0" xfId="0" applyFont="1" applyFill="1"/>
    <xf numFmtId="0" fontId="29" fillId="21" borderId="6" xfId="0" applyFont="1" applyFill="1" applyBorder="1" applyAlignment="1">
      <alignment vertical="center"/>
    </xf>
    <xf numFmtId="49" fontId="56" fillId="8" borderId="6" xfId="0" applyNumberFormat="1" applyFont="1" applyFill="1" applyBorder="1" applyAlignment="1">
      <alignment vertical="center"/>
    </xf>
    <xf numFmtId="0" fontId="29" fillId="8" borderId="6" xfId="0" applyFont="1" applyFill="1" applyBorder="1" applyAlignment="1">
      <alignment vertical="center"/>
    </xf>
    <xf numFmtId="49" fontId="56" fillId="8" borderId="6" xfId="0" applyNumberFormat="1" applyFont="1" applyFill="1" applyBorder="1" applyAlignment="1">
      <alignment horizontal="left" vertical="top"/>
    </xf>
    <xf numFmtId="0" fontId="31" fillId="0" borderId="15" xfId="23" applyFont="1" applyBorder="1" applyAlignment="1">
      <alignment horizontal="center" vertical="center"/>
    </xf>
    <xf numFmtId="0" fontId="22" fillId="0" borderId="0" xfId="23"/>
    <xf numFmtId="0" fontId="28" fillId="28" borderId="6" xfId="23" applyFont="1" applyFill="1" applyBorder="1" applyAlignment="1">
      <alignment horizontal="center" vertical="center"/>
    </xf>
    <xf numFmtId="0" fontId="28" fillId="28" borderId="0" xfId="23" applyFont="1" applyFill="1" applyAlignment="1">
      <alignment horizontal="center" vertical="center"/>
    </xf>
    <xf numFmtId="171" fontId="28" fillId="28" borderId="0" xfId="1" applyNumberFormat="1" applyFont="1" applyFill="1" applyBorder="1" applyAlignment="1">
      <alignment horizontal="center" vertical="center"/>
    </xf>
    <xf numFmtId="171" fontId="28" fillId="28" borderId="9" xfId="1" applyNumberFormat="1" applyFont="1" applyFill="1" applyBorder="1" applyAlignment="1">
      <alignment horizontal="center" vertical="center"/>
    </xf>
    <xf numFmtId="1" fontId="28" fillId="0" borderId="7" xfId="24" applyNumberFormat="1" applyFont="1" applyBorder="1" applyAlignment="1">
      <alignment horizontal="center" vertical="center"/>
    </xf>
    <xf numFmtId="0" fontId="29" fillId="28" borderId="6" xfId="23" applyFont="1" applyFill="1" applyBorder="1" applyAlignment="1">
      <alignment vertical="center"/>
    </xf>
    <xf numFmtId="0" fontId="29" fillId="28" borderId="0" xfId="23" applyFont="1" applyFill="1" applyAlignment="1">
      <alignment horizontal="left" vertical="center"/>
    </xf>
    <xf numFmtId="15" fontId="29" fillId="28" borderId="0" xfId="23" applyNumberFormat="1" applyFont="1" applyFill="1" applyAlignment="1">
      <alignment horizontal="center" vertical="center"/>
    </xf>
    <xf numFmtId="0" fontId="29" fillId="28" borderId="0" xfId="23" applyFont="1" applyFill="1" applyAlignment="1">
      <alignment vertical="center"/>
    </xf>
    <xf numFmtId="171" fontId="29" fillId="28" borderId="0" xfId="1" applyNumberFormat="1" applyFont="1" applyFill="1" applyBorder="1" applyAlignment="1">
      <alignment horizontal="right" vertical="center"/>
    </xf>
    <xf numFmtId="171" fontId="29" fillId="28" borderId="9" xfId="1" applyNumberFormat="1" applyFont="1" applyFill="1" applyBorder="1" applyAlignment="1">
      <alignment horizontal="right" vertical="center"/>
    </xf>
    <xf numFmtId="0" fontId="22" fillId="0" borderId="7" xfId="23" applyBorder="1"/>
    <xf numFmtId="0" fontId="8" fillId="28" borderId="6" xfId="23" applyFont="1" applyFill="1" applyBorder="1" applyAlignment="1">
      <alignment vertical="center"/>
    </xf>
    <xf numFmtId="0" fontId="8" fillId="28" borderId="0" xfId="23" applyFont="1" applyFill="1" applyAlignment="1">
      <alignment horizontal="left" vertical="center"/>
    </xf>
    <xf numFmtId="171" fontId="27" fillId="27" borderId="4" xfId="1" applyNumberFormat="1" applyFont="1" applyFill="1" applyBorder="1" applyAlignment="1">
      <alignment horizontal="right" vertical="center"/>
    </xf>
    <xf numFmtId="171" fontId="8" fillId="0" borderId="7" xfId="1" applyNumberFormat="1" applyFont="1" applyBorder="1" applyAlignment="1">
      <alignment horizontal="right" vertical="center"/>
    </xf>
    <xf numFmtId="0" fontId="8" fillId="28" borderId="0" xfId="23" applyFont="1" applyFill="1" applyAlignment="1">
      <alignment horizontal="center" vertical="center"/>
    </xf>
    <xf numFmtId="0" fontId="8" fillId="28" borderId="0" xfId="23" applyFont="1" applyFill="1" applyAlignment="1">
      <alignment vertical="center"/>
    </xf>
    <xf numFmtId="171" fontId="27" fillId="28" borderId="0" xfId="1" applyNumberFormat="1" applyFont="1" applyFill="1" applyBorder="1" applyAlignment="1">
      <alignment horizontal="right" vertical="center"/>
    </xf>
    <xf numFmtId="171" fontId="27" fillId="28" borderId="9" xfId="1" applyNumberFormat="1" applyFont="1" applyFill="1" applyBorder="1" applyAlignment="1">
      <alignment horizontal="right" vertical="center"/>
    </xf>
    <xf numFmtId="0" fontId="22" fillId="28" borderId="6" xfId="23" applyFill="1" applyBorder="1" applyAlignment="1">
      <alignment vertical="center"/>
    </xf>
    <xf numFmtId="0" fontId="8" fillId="28" borderId="12" xfId="23" applyFont="1" applyFill="1" applyBorder="1" applyAlignment="1">
      <alignment vertical="center"/>
    </xf>
    <xf numFmtId="0" fontId="22" fillId="28" borderId="13" xfId="23" applyFill="1" applyBorder="1" applyAlignment="1">
      <alignment horizontal="left" vertical="center"/>
    </xf>
    <xf numFmtId="0" fontId="8" fillId="28" borderId="13" xfId="23" applyFont="1" applyFill="1" applyBorder="1" applyAlignment="1">
      <alignment vertical="center"/>
    </xf>
    <xf numFmtId="171" fontId="8" fillId="28" borderId="13" xfId="1" applyNumberFormat="1" applyFont="1" applyFill="1" applyBorder="1" applyAlignment="1">
      <alignment horizontal="right" vertical="center"/>
    </xf>
    <xf numFmtId="171" fontId="8" fillId="28" borderId="14" xfId="1" applyNumberFormat="1" applyFont="1" applyFill="1" applyBorder="1" applyAlignment="1">
      <alignment horizontal="right" vertical="center"/>
    </xf>
    <xf numFmtId="171" fontId="8" fillId="0" borderId="59" xfId="1" applyNumberFormat="1" applyFont="1" applyBorder="1" applyAlignment="1">
      <alignment horizontal="right" vertical="center"/>
    </xf>
    <xf numFmtId="49" fontId="29" fillId="28" borderId="6" xfId="23" applyNumberFormat="1" applyFont="1" applyFill="1" applyBorder="1" applyAlignment="1">
      <alignment vertical="center"/>
    </xf>
    <xf numFmtId="180" fontId="28" fillId="30" borderId="60" xfId="15" applyNumberFormat="1" applyFont="1" applyFill="1" applyBorder="1" applyAlignment="1">
      <alignment horizontal="right" vertical="center"/>
    </xf>
    <xf numFmtId="180" fontId="58" fillId="30" borderId="60" xfId="15" applyNumberFormat="1" applyFont="1" applyFill="1" applyBorder="1" applyAlignment="1">
      <alignment horizontal="right" vertical="center"/>
    </xf>
    <xf numFmtId="0" fontId="28" fillId="30" borderId="15" xfId="0" applyFont="1" applyFill="1" applyBorder="1" applyAlignment="1">
      <alignment horizontal="center" vertical="center"/>
    </xf>
    <xf numFmtId="180" fontId="28" fillId="30" borderId="59" xfId="15" applyNumberFormat="1" applyFont="1" applyFill="1" applyBorder="1" applyAlignment="1">
      <alignment horizontal="right" vertical="center"/>
    </xf>
    <xf numFmtId="180" fontId="28" fillId="30" borderId="15" xfId="15" applyNumberFormat="1" applyFont="1" applyFill="1" applyBorder="1" applyAlignment="1">
      <alignment horizontal="right" vertical="center"/>
    </xf>
    <xf numFmtId="179" fontId="0" fillId="23" borderId="7" xfId="1" applyNumberFormat="1" applyFont="1" applyFill="1" applyBorder="1"/>
    <xf numFmtId="0" fontId="7" fillId="0" borderId="0" xfId="25"/>
    <xf numFmtId="0" fontId="28" fillId="0" borderId="0" xfId="25" applyFont="1" applyAlignment="1">
      <alignment horizontal="center"/>
    </xf>
    <xf numFmtId="166" fontId="0" fillId="32" borderId="0" xfId="26" applyFont="1" applyFill="1"/>
    <xf numFmtId="166" fontId="0" fillId="0" borderId="0" xfId="26" applyFont="1"/>
    <xf numFmtId="0" fontId="28" fillId="0" borderId="0" xfId="25" applyFont="1"/>
    <xf numFmtId="44" fontId="7" fillId="0" borderId="0" xfId="25" applyNumberFormat="1"/>
    <xf numFmtId="166" fontId="7" fillId="0" borderId="0" xfId="25" applyNumberFormat="1"/>
    <xf numFmtId="181" fontId="0" fillId="0" borderId="0" xfId="27" applyNumberFormat="1" applyFont="1"/>
    <xf numFmtId="0" fontId="28" fillId="0" borderId="0" xfId="25" applyFont="1" applyAlignment="1">
      <alignment horizontal="left"/>
    </xf>
    <xf numFmtId="9" fontId="28" fillId="0" borderId="0" xfId="27" applyFont="1"/>
    <xf numFmtId="9" fontId="0" fillId="0" borderId="0" xfId="27" applyFont="1"/>
    <xf numFmtId="0" fontId="7" fillId="0" borderId="0" xfId="25" applyAlignment="1">
      <alignment horizontal="right"/>
    </xf>
    <xf numFmtId="9" fontId="7" fillId="32" borderId="0" xfId="25" applyNumberFormat="1" applyFill="1" applyAlignment="1">
      <alignment horizontal="left"/>
    </xf>
    <xf numFmtId="0" fontId="28" fillId="22" borderId="4" xfId="25" applyFont="1" applyFill="1" applyBorder="1" applyAlignment="1">
      <alignment horizontal="center" vertical="center"/>
    </xf>
    <xf numFmtId="0" fontId="28" fillId="22" borderId="5" xfId="25" applyFont="1" applyFill="1" applyBorder="1" applyAlignment="1">
      <alignment horizontal="center" vertical="center"/>
    </xf>
    <xf numFmtId="0" fontId="28" fillId="22" borderId="63" xfId="25" applyFont="1" applyFill="1" applyBorder="1" applyAlignment="1">
      <alignment horizontal="center" vertical="center" wrapText="1"/>
    </xf>
    <xf numFmtId="0" fontId="28" fillId="22" borderId="64" xfId="25" applyFont="1" applyFill="1" applyBorder="1" applyAlignment="1">
      <alignment horizontal="center" vertical="center" wrapText="1"/>
    </xf>
    <xf numFmtId="0" fontId="7" fillId="8" borderId="16" xfId="25" applyFill="1" applyBorder="1" applyAlignment="1">
      <alignment vertical="center"/>
    </xf>
    <xf numFmtId="0" fontId="29" fillId="8" borderId="17" xfId="25" applyFont="1" applyFill="1" applyBorder="1" applyAlignment="1">
      <alignment vertical="center"/>
    </xf>
    <xf numFmtId="0" fontId="29" fillId="8" borderId="17" xfId="25" applyFont="1" applyFill="1" applyBorder="1" applyAlignment="1">
      <alignment horizontal="left" vertical="center"/>
    </xf>
    <xf numFmtId="170" fontId="29" fillId="8" borderId="65" xfId="26" applyNumberFormat="1" applyFont="1" applyFill="1" applyBorder="1" applyAlignment="1">
      <alignment horizontal="right" vertical="center"/>
    </xf>
    <xf numFmtId="171" fontId="29" fillId="8" borderId="65" xfId="26" applyNumberFormat="1" applyFont="1" applyFill="1" applyBorder="1" applyAlignment="1">
      <alignment horizontal="right" vertical="center"/>
    </xf>
    <xf numFmtId="171" fontId="29" fillId="8" borderId="66" xfId="26" applyNumberFormat="1" applyFont="1" applyFill="1" applyBorder="1" applyAlignment="1">
      <alignment horizontal="right" vertical="center"/>
    </xf>
    <xf numFmtId="0" fontId="7" fillId="22" borderId="6" xfId="25" applyFill="1" applyBorder="1" applyAlignment="1">
      <alignment vertical="center"/>
    </xf>
    <xf numFmtId="0" fontId="29" fillId="22" borderId="0" xfId="25" applyFont="1" applyFill="1" applyAlignment="1">
      <alignment vertical="center"/>
    </xf>
    <xf numFmtId="0" fontId="29" fillId="22" borderId="0" xfId="25" applyFont="1" applyFill="1" applyAlignment="1">
      <alignment horizontal="left" vertical="center"/>
    </xf>
    <xf numFmtId="170" fontId="29" fillId="22" borderId="36" xfId="26" applyNumberFormat="1" applyFont="1" applyFill="1" applyBorder="1" applyAlignment="1">
      <alignment horizontal="right" vertical="center"/>
    </xf>
    <xf numFmtId="171" fontId="29" fillId="22" borderId="36" xfId="26" applyNumberFormat="1" applyFont="1" applyFill="1" applyBorder="1" applyAlignment="1">
      <alignment horizontal="right" vertical="center"/>
    </xf>
    <xf numFmtId="171" fontId="29" fillId="22" borderId="67" xfId="26" applyNumberFormat="1" applyFont="1" applyFill="1" applyBorder="1" applyAlignment="1">
      <alignment horizontal="right" vertical="center"/>
    </xf>
    <xf numFmtId="0" fontId="7" fillId="8" borderId="6" xfId="25" applyFill="1" applyBorder="1" applyAlignment="1">
      <alignment vertical="center"/>
    </xf>
    <xf numFmtId="0" fontId="29" fillId="8" borderId="0" xfId="25" applyFont="1" applyFill="1" applyAlignment="1">
      <alignment vertical="center"/>
    </xf>
    <xf numFmtId="0" fontId="29" fillId="8" borderId="0" xfId="25" applyFont="1" applyFill="1" applyAlignment="1">
      <alignment horizontal="left" vertical="center"/>
    </xf>
    <xf numFmtId="170" fontId="29" fillId="8" borderId="36" xfId="26" applyNumberFormat="1" applyFont="1" applyFill="1" applyBorder="1" applyAlignment="1">
      <alignment horizontal="right" vertical="center"/>
    </xf>
    <xf numFmtId="171" fontId="29" fillId="8" borderId="36" xfId="26" applyNumberFormat="1" applyFont="1" applyFill="1" applyBorder="1" applyAlignment="1">
      <alignment horizontal="right" vertical="center"/>
    </xf>
    <xf numFmtId="171" fontId="29" fillId="8" borderId="67" xfId="26" applyNumberFormat="1" applyFont="1" applyFill="1" applyBorder="1" applyAlignment="1">
      <alignment horizontal="right" vertical="center"/>
    </xf>
    <xf numFmtId="0" fontId="7" fillId="8" borderId="12" xfId="25" applyFill="1" applyBorder="1" applyAlignment="1">
      <alignment vertical="center"/>
    </xf>
    <xf numFmtId="0" fontId="29" fillId="8" borderId="13" xfId="25" applyFont="1" applyFill="1" applyBorder="1" applyAlignment="1">
      <alignment vertical="center"/>
    </xf>
    <xf numFmtId="0" fontId="29" fillId="8" borderId="13" xfId="25" applyFont="1" applyFill="1" applyBorder="1" applyAlignment="1">
      <alignment horizontal="left" vertical="center"/>
    </xf>
    <xf numFmtId="170" fontId="29" fillId="8" borderId="68" xfId="26" applyNumberFormat="1" applyFont="1" applyFill="1" applyBorder="1" applyAlignment="1">
      <alignment horizontal="right" vertical="center"/>
    </xf>
    <xf numFmtId="171" fontId="29" fillId="8" borderId="68" xfId="26" applyNumberFormat="1" applyFont="1" applyFill="1" applyBorder="1" applyAlignment="1">
      <alignment horizontal="right" vertical="center"/>
    </xf>
    <xf numFmtId="171" fontId="29" fillId="8" borderId="69" xfId="26" applyNumberFormat="1" applyFont="1" applyFill="1" applyBorder="1" applyAlignment="1">
      <alignment horizontal="right" vertical="center"/>
    </xf>
    <xf numFmtId="0" fontId="7" fillId="0" borderId="0" xfId="25" applyAlignment="1">
      <alignment vertical="center"/>
    </xf>
    <xf numFmtId="0" fontId="29" fillId="0" borderId="0" xfId="25" applyFont="1" applyAlignment="1">
      <alignment vertical="center"/>
    </xf>
    <xf numFmtId="0" fontId="29" fillId="0" borderId="0" xfId="25" applyFont="1" applyAlignment="1">
      <alignment horizontal="left" vertical="center"/>
    </xf>
    <xf numFmtId="0" fontId="56" fillId="0" borderId="0" xfId="25" applyFont="1" applyAlignment="1">
      <alignment horizontal="right" vertical="center"/>
    </xf>
    <xf numFmtId="170" fontId="56" fillId="22" borderId="12" xfId="26" applyNumberFormat="1" applyFont="1" applyFill="1" applyBorder="1" applyAlignment="1">
      <alignment horizontal="right" vertical="center"/>
    </xf>
    <xf numFmtId="170" fontId="56" fillId="22" borderId="68" xfId="26" applyNumberFormat="1" applyFont="1" applyFill="1" applyBorder="1" applyAlignment="1">
      <alignment horizontal="right" vertical="center"/>
    </xf>
    <xf numFmtId="170" fontId="56" fillId="22" borderId="69" xfId="26" applyNumberFormat="1" applyFont="1" applyFill="1" applyBorder="1" applyAlignment="1">
      <alignment horizontal="right" vertical="center"/>
    </xf>
    <xf numFmtId="9" fontId="0" fillId="0" borderId="0" xfId="27" applyFont="1" applyBorder="1"/>
    <xf numFmtId="171" fontId="7" fillId="0" borderId="0" xfId="25" applyNumberFormat="1"/>
    <xf numFmtId="0" fontId="28" fillId="33" borderId="0" xfId="25" applyFont="1" applyFill="1" applyAlignment="1">
      <alignment horizontal="right"/>
    </xf>
    <xf numFmtId="0" fontId="28" fillId="33" borderId="0" xfId="25" applyFont="1" applyFill="1"/>
    <xf numFmtId="0" fontId="7" fillId="0" borderId="36" xfId="25" applyBorder="1"/>
    <xf numFmtId="171" fontId="7" fillId="0" borderId="36" xfId="25" applyNumberFormat="1" applyBorder="1"/>
    <xf numFmtId="166" fontId="0" fillId="6" borderId="61" xfId="26" applyFont="1" applyFill="1" applyBorder="1" applyAlignment="1">
      <alignment horizontal="right" vertical="center"/>
    </xf>
    <xf numFmtId="166" fontId="0" fillId="6" borderId="62" xfId="26" applyFont="1" applyFill="1" applyBorder="1" applyAlignment="1">
      <alignment horizontal="right" vertical="center"/>
    </xf>
    <xf numFmtId="166" fontId="0" fillId="6" borderId="79" xfId="26" applyFont="1" applyFill="1" applyBorder="1" applyAlignment="1">
      <alignment horizontal="right" vertical="center"/>
    </xf>
    <xf numFmtId="166" fontId="28" fillId="6" borderId="60" xfId="26" applyFont="1" applyFill="1" applyBorder="1" applyAlignment="1">
      <alignment horizontal="right" vertical="center"/>
    </xf>
    <xf numFmtId="0" fontId="7" fillId="0" borderId="0" xfId="25" applyAlignment="1">
      <alignment horizontal="center" vertical="center"/>
    </xf>
    <xf numFmtId="170" fontId="0" fillId="0" borderId="0" xfId="26" applyNumberFormat="1" applyFont="1" applyAlignment="1">
      <alignment horizontal="right" vertical="center"/>
    </xf>
    <xf numFmtId="166" fontId="0" fillId="0" borderId="0" xfId="26" applyFont="1" applyAlignment="1">
      <alignment horizontal="right" vertical="center"/>
    </xf>
    <xf numFmtId="0" fontId="59" fillId="35" borderId="70" xfId="25" applyFont="1" applyFill="1" applyBorder="1" applyAlignment="1">
      <alignment horizontal="center" vertical="center"/>
    </xf>
    <xf numFmtId="0" fontId="58" fillId="35" borderId="71" xfId="25" applyFont="1" applyFill="1" applyBorder="1" applyAlignment="1">
      <alignment horizontal="center" vertical="center"/>
    </xf>
    <xf numFmtId="170" fontId="58" fillId="35" borderId="71" xfId="26" applyNumberFormat="1" applyFont="1" applyFill="1" applyBorder="1" applyAlignment="1">
      <alignment horizontal="center" vertical="center"/>
    </xf>
    <xf numFmtId="166" fontId="58" fillId="35" borderId="72" xfId="26" applyFont="1" applyFill="1" applyBorder="1" applyAlignment="1">
      <alignment horizontal="center" vertical="center"/>
    </xf>
    <xf numFmtId="0" fontId="58" fillId="35" borderId="61" xfId="25" applyFont="1" applyFill="1" applyBorder="1" applyAlignment="1">
      <alignment vertical="center"/>
    </xf>
    <xf numFmtId="0" fontId="28" fillId="36" borderId="54" xfId="25" applyFont="1" applyFill="1" applyBorder="1" applyAlignment="1">
      <alignment vertical="center"/>
    </xf>
    <xf numFmtId="0" fontId="7" fillId="36" borderId="53" xfId="25" applyFill="1" applyBorder="1" applyAlignment="1">
      <alignment horizontal="left" vertical="center"/>
    </xf>
    <xf numFmtId="0" fontId="7" fillId="36" borderId="53" xfId="25" applyFill="1" applyBorder="1" applyAlignment="1">
      <alignment vertical="center" wrapText="1"/>
    </xf>
    <xf numFmtId="170" fontId="0" fillId="36" borderId="53" xfId="26" applyNumberFormat="1" applyFont="1" applyFill="1" applyBorder="1" applyAlignment="1">
      <alignment horizontal="right" vertical="center"/>
    </xf>
    <xf numFmtId="166" fontId="0" fillId="36" borderId="56" xfId="26" applyFont="1" applyFill="1" applyBorder="1" applyAlignment="1">
      <alignment horizontal="right" vertical="center"/>
    </xf>
    <xf numFmtId="0" fontId="7" fillId="36" borderId="62" xfId="25" applyFill="1" applyBorder="1" applyAlignment="1">
      <alignment vertical="center"/>
    </xf>
    <xf numFmtId="0" fontId="28" fillId="36" borderId="6" xfId="25" applyFont="1" applyFill="1" applyBorder="1" applyAlignment="1">
      <alignment vertical="center"/>
    </xf>
    <xf numFmtId="170" fontId="0" fillId="36" borderId="0" xfId="26" applyNumberFormat="1" applyFont="1" applyFill="1" applyBorder="1" applyAlignment="1">
      <alignment horizontal="right" vertical="center"/>
    </xf>
    <xf numFmtId="166" fontId="0" fillId="36" borderId="9" xfId="26" applyFont="1" applyFill="1" applyBorder="1" applyAlignment="1">
      <alignment horizontal="right" vertical="center"/>
    </xf>
    <xf numFmtId="0" fontId="7" fillId="36" borderId="6" xfId="25" applyFill="1" applyBorder="1" applyAlignment="1">
      <alignment vertical="center"/>
    </xf>
    <xf numFmtId="166" fontId="0" fillId="36" borderId="0" xfId="26" applyFont="1" applyFill="1" applyBorder="1" applyAlignment="1">
      <alignment horizontal="right" vertical="center"/>
    </xf>
    <xf numFmtId="0" fontId="7" fillId="36" borderId="9" xfId="25" applyFill="1" applyBorder="1" applyAlignment="1">
      <alignment vertical="center"/>
    </xf>
    <xf numFmtId="0" fontId="7" fillId="35" borderId="73" xfId="25" applyFill="1" applyBorder="1" applyAlignment="1">
      <alignment vertical="center"/>
    </xf>
    <xf numFmtId="170" fontId="0" fillId="35" borderId="74" xfId="26" applyNumberFormat="1" applyFont="1" applyFill="1" applyBorder="1" applyAlignment="1">
      <alignment horizontal="right" vertical="center"/>
    </xf>
    <xf numFmtId="0" fontId="7" fillId="35" borderId="75" xfId="25" applyFill="1" applyBorder="1" applyAlignment="1">
      <alignment vertical="center"/>
    </xf>
    <xf numFmtId="170" fontId="0" fillId="35" borderId="76" xfId="26" applyNumberFormat="1" applyFont="1" applyFill="1" applyBorder="1" applyAlignment="1">
      <alignment horizontal="right" vertical="center"/>
    </xf>
    <xf numFmtId="0" fontId="7" fillId="35" borderId="77" xfId="25" applyFill="1" applyBorder="1" applyAlignment="1">
      <alignment vertical="center"/>
    </xf>
    <xf numFmtId="170" fontId="0" fillId="35" borderId="78" xfId="26" applyNumberFormat="1" applyFont="1" applyFill="1" applyBorder="1" applyAlignment="1">
      <alignment horizontal="right" vertical="center"/>
    </xf>
    <xf numFmtId="0" fontId="7" fillId="36" borderId="0" xfId="25" applyFill="1" applyAlignment="1">
      <alignment horizontal="left" vertical="center"/>
    </xf>
    <xf numFmtId="0" fontId="7" fillId="36" borderId="0" xfId="25" applyFill="1" applyAlignment="1">
      <alignment vertical="center"/>
    </xf>
    <xf numFmtId="0" fontId="7" fillId="36" borderId="1" xfId="25" applyFill="1" applyBorder="1" applyAlignment="1">
      <alignment horizontal="left" vertical="center"/>
    </xf>
    <xf numFmtId="0" fontId="7" fillId="36" borderId="1" xfId="25" applyFill="1" applyBorder="1" applyAlignment="1">
      <alignment vertical="center"/>
    </xf>
    <xf numFmtId="170" fontId="0" fillId="36" borderId="1" xfId="26" applyNumberFormat="1" applyFont="1" applyFill="1" applyBorder="1" applyAlignment="1">
      <alignment horizontal="right" vertical="center"/>
    </xf>
    <xf numFmtId="166" fontId="0" fillId="36" borderId="57" xfId="26" applyFont="1" applyFill="1" applyBorder="1" applyAlignment="1">
      <alignment horizontal="right" vertical="center"/>
    </xf>
    <xf numFmtId="0" fontId="7" fillId="36" borderId="0" xfId="25" applyFill="1" applyAlignment="1">
      <alignment vertical="center" wrapText="1"/>
    </xf>
    <xf numFmtId="0" fontId="7" fillId="36" borderId="55" xfId="25" applyFill="1" applyBorder="1" applyAlignment="1">
      <alignment vertical="center"/>
    </xf>
    <xf numFmtId="0" fontId="7" fillId="36" borderId="0" xfId="25" applyFill="1" applyAlignment="1">
      <alignment horizontal="center" vertical="center"/>
    </xf>
    <xf numFmtId="0" fontId="7" fillId="36" borderId="12" xfId="25" applyFill="1" applyBorder="1" applyAlignment="1">
      <alignment vertical="center"/>
    </xf>
    <xf numFmtId="9" fontId="7" fillId="0" borderId="0" xfId="15" applyFont="1"/>
    <xf numFmtId="170" fontId="56" fillId="22" borderId="4" xfId="26" applyNumberFormat="1" applyFont="1" applyFill="1" applyBorder="1" applyAlignment="1">
      <alignment horizontal="right" vertical="center"/>
    </xf>
    <xf numFmtId="170" fontId="56" fillId="22" borderId="63" xfId="26" applyNumberFormat="1" applyFont="1" applyFill="1" applyBorder="1" applyAlignment="1">
      <alignment horizontal="right" vertical="center"/>
    </xf>
    <xf numFmtId="170" fontId="56" fillId="22" borderId="64" xfId="26" applyNumberFormat="1" applyFont="1" applyFill="1" applyBorder="1" applyAlignment="1">
      <alignment horizontal="right" vertical="center"/>
    </xf>
    <xf numFmtId="0" fontId="76" fillId="0" borderId="0" xfId="31" applyFont="1" applyProtection="1">
      <protection hidden="1"/>
    </xf>
    <xf numFmtId="0" fontId="76" fillId="25" borderId="0" xfId="31" applyFont="1" applyFill="1" applyProtection="1">
      <protection hidden="1"/>
    </xf>
    <xf numFmtId="0" fontId="76" fillId="25" borderId="0" xfId="31" applyFont="1" applyFill="1" applyAlignment="1" applyProtection="1">
      <alignment horizontal="center"/>
      <protection hidden="1"/>
    </xf>
    <xf numFmtId="0" fontId="58" fillId="8" borderId="8" xfId="31" applyFont="1" applyFill="1" applyBorder="1" applyAlignment="1" applyProtection="1">
      <alignment horizontal="center"/>
      <protection locked="0"/>
    </xf>
    <xf numFmtId="2" fontId="58" fillId="8" borderId="8" xfId="31" applyNumberFormat="1" applyFont="1" applyFill="1" applyBorder="1" applyAlignment="1" applyProtection="1">
      <alignment horizontal="left"/>
      <protection locked="0"/>
    </xf>
    <xf numFmtId="10" fontId="58" fillId="8" borderId="8" xfId="31" applyNumberFormat="1" applyFont="1" applyFill="1" applyBorder="1" applyAlignment="1" applyProtection="1">
      <alignment horizontal="center"/>
      <protection locked="0"/>
    </xf>
    <xf numFmtId="3" fontId="58" fillId="8" borderId="8" xfId="31" applyNumberFormat="1" applyFont="1" applyFill="1" applyBorder="1" applyAlignment="1" applyProtection="1">
      <alignment horizontal="center"/>
      <protection locked="0"/>
    </xf>
    <xf numFmtId="0" fontId="58" fillId="25" borderId="0" xfId="31" applyFont="1" applyFill="1" applyProtection="1">
      <protection hidden="1"/>
    </xf>
    <xf numFmtId="0" fontId="80" fillId="25" borderId="0" xfId="31" applyFont="1" applyFill="1" applyAlignment="1" applyProtection="1">
      <alignment horizontal="center"/>
      <protection hidden="1"/>
    </xf>
    <xf numFmtId="0" fontId="80" fillId="25" borderId="0" xfId="31" applyFont="1" applyFill="1" applyProtection="1">
      <protection hidden="1"/>
    </xf>
    <xf numFmtId="10" fontId="76" fillId="25" borderId="0" xfId="31" applyNumberFormat="1" applyFont="1" applyFill="1" applyAlignment="1" applyProtection="1">
      <alignment horizontal="center"/>
      <protection hidden="1"/>
    </xf>
    <xf numFmtId="0" fontId="76" fillId="25" borderId="0" xfId="31" applyFont="1" applyFill="1" applyAlignment="1" applyProtection="1">
      <alignment horizontal="left"/>
      <protection hidden="1"/>
    </xf>
    <xf numFmtId="0" fontId="58" fillId="25" borderId="0" xfId="31" applyFont="1" applyFill="1" applyAlignment="1" applyProtection="1">
      <alignment horizontal="right"/>
      <protection hidden="1"/>
    </xf>
    <xf numFmtId="4" fontId="76" fillId="25" borderId="0" xfId="31" applyNumberFormat="1" applyFont="1" applyFill="1" applyAlignment="1" applyProtection="1">
      <alignment horizontal="center"/>
      <protection hidden="1"/>
    </xf>
    <xf numFmtId="0" fontId="76" fillId="25" borderId="0" xfId="31" applyFont="1" applyFill="1" applyAlignment="1" applyProtection="1">
      <alignment horizontal="right"/>
      <protection hidden="1"/>
    </xf>
    <xf numFmtId="0" fontId="81" fillId="25" borderId="0" xfId="31" applyFont="1" applyFill="1" applyAlignment="1" applyProtection="1">
      <alignment horizontal="left"/>
      <protection hidden="1"/>
    </xf>
    <xf numFmtId="0" fontId="81" fillId="0" borderId="0" xfId="31" applyFont="1" applyProtection="1">
      <protection hidden="1"/>
    </xf>
    <xf numFmtId="0" fontId="81" fillId="25" borderId="0" xfId="31" applyFont="1" applyFill="1" applyProtection="1">
      <protection hidden="1"/>
    </xf>
    <xf numFmtId="0" fontId="58" fillId="25" borderId="8" xfId="31" applyFont="1" applyFill="1" applyBorder="1" applyAlignment="1" applyProtection="1">
      <alignment horizontal="center"/>
      <protection hidden="1"/>
    </xf>
    <xf numFmtId="4" fontId="82" fillId="39" borderId="8" xfId="31" applyNumberFormat="1" applyFont="1" applyFill="1" applyBorder="1" applyAlignment="1" applyProtection="1">
      <alignment horizontal="center"/>
      <protection hidden="1"/>
    </xf>
    <xf numFmtId="2" fontId="76" fillId="25" borderId="0" xfId="31" applyNumberFormat="1" applyFont="1" applyFill="1" applyProtection="1">
      <protection hidden="1"/>
    </xf>
    <xf numFmtId="3" fontId="76" fillId="25" borderId="0" xfId="31" applyNumberFormat="1" applyFont="1" applyFill="1" applyAlignment="1" applyProtection="1">
      <alignment horizontal="center"/>
      <protection hidden="1"/>
    </xf>
    <xf numFmtId="0" fontId="81" fillId="25" borderId="0" xfId="31" applyFont="1" applyFill="1" applyAlignment="1" applyProtection="1">
      <alignment horizontal="center"/>
      <protection hidden="1"/>
    </xf>
    <xf numFmtId="0" fontId="58" fillId="25" borderId="0" xfId="31" applyFont="1" applyFill="1" applyAlignment="1" applyProtection="1">
      <alignment horizontal="center" vertical="center"/>
      <protection hidden="1"/>
    </xf>
    <xf numFmtId="0" fontId="58" fillId="25" borderId="0" xfId="31" applyFont="1" applyFill="1" applyAlignment="1" applyProtection="1">
      <alignment horizontal="left"/>
      <protection hidden="1"/>
    </xf>
    <xf numFmtId="4" fontId="59" fillId="39" borderId="8" xfId="31" applyNumberFormat="1" applyFont="1" applyFill="1" applyBorder="1" applyAlignment="1" applyProtection="1">
      <alignment horizontal="center"/>
      <protection hidden="1"/>
    </xf>
    <xf numFmtId="0" fontId="83" fillId="25" borderId="0" xfId="31" applyFont="1" applyFill="1" applyProtection="1">
      <protection hidden="1"/>
    </xf>
    <xf numFmtId="0" fontId="83" fillId="25" borderId="0" xfId="31" applyFont="1" applyFill="1" applyAlignment="1" applyProtection="1">
      <alignment horizontal="center"/>
      <protection hidden="1"/>
    </xf>
    <xf numFmtId="0" fontId="83" fillId="25" borderId="8" xfId="31" applyFont="1" applyFill="1" applyBorder="1" applyAlignment="1" applyProtection="1">
      <alignment horizontal="center"/>
      <protection hidden="1"/>
    </xf>
    <xf numFmtId="10" fontId="83" fillId="25" borderId="0" xfId="31" applyNumberFormat="1" applyFont="1" applyFill="1" applyAlignment="1" applyProtection="1">
      <alignment horizontal="center"/>
      <protection hidden="1"/>
    </xf>
    <xf numFmtId="2" fontId="83" fillId="25" borderId="0" xfId="31" applyNumberFormat="1" applyFont="1" applyFill="1" applyAlignment="1" applyProtection="1">
      <alignment horizontal="left"/>
      <protection hidden="1"/>
    </xf>
    <xf numFmtId="184" fontId="83" fillId="25" borderId="0" xfId="32" applyNumberFormat="1" applyFont="1" applyFill="1" applyBorder="1" applyAlignment="1" applyProtection="1">
      <alignment horizontal="center"/>
      <protection hidden="1"/>
    </xf>
    <xf numFmtId="10" fontId="83" fillId="25" borderId="0" xfId="32" applyNumberFormat="1" applyFont="1" applyFill="1" applyAlignment="1" applyProtection="1">
      <alignment horizontal="center"/>
      <protection hidden="1"/>
    </xf>
    <xf numFmtId="8" fontId="83" fillId="25" borderId="0" xfId="31" applyNumberFormat="1" applyFont="1" applyFill="1" applyProtection="1">
      <protection hidden="1"/>
    </xf>
    <xf numFmtId="4" fontId="83" fillId="25" borderId="0" xfId="31" applyNumberFormat="1" applyFont="1" applyFill="1" applyAlignment="1" applyProtection="1">
      <alignment horizontal="center"/>
      <protection hidden="1"/>
    </xf>
    <xf numFmtId="2" fontId="83" fillId="25" borderId="0" xfId="31" applyNumberFormat="1" applyFont="1" applyFill="1" applyProtection="1">
      <protection hidden="1"/>
    </xf>
    <xf numFmtId="44" fontId="0" fillId="37" borderId="8" xfId="30" applyFont="1" applyFill="1" applyBorder="1" applyProtection="1">
      <protection locked="0"/>
    </xf>
    <xf numFmtId="44" fontId="0" fillId="33" borderId="8" xfId="30" applyFont="1" applyFill="1" applyBorder="1" applyProtection="1">
      <protection locked="0"/>
    </xf>
    <xf numFmtId="0" fontId="77" fillId="0" borderId="0" xfId="29" applyFont="1" applyProtection="1">
      <protection hidden="1"/>
    </xf>
    <xf numFmtId="0" fontId="76" fillId="0" borderId="0" xfId="29" applyProtection="1">
      <protection hidden="1"/>
    </xf>
    <xf numFmtId="0" fontId="77" fillId="25" borderId="0" xfId="29" applyFont="1" applyFill="1" applyAlignment="1" applyProtection="1">
      <alignment horizontal="center"/>
      <protection hidden="1"/>
    </xf>
    <xf numFmtId="44" fontId="77" fillId="25" borderId="0" xfId="30" applyFont="1" applyFill="1" applyAlignment="1" applyProtection="1">
      <alignment horizontal="center"/>
      <protection hidden="1"/>
    </xf>
    <xf numFmtId="0" fontId="77" fillId="0" borderId="0" xfId="29" applyFont="1" applyAlignment="1" applyProtection="1">
      <alignment horizontal="center"/>
      <protection hidden="1"/>
    </xf>
    <xf numFmtId="0" fontId="59" fillId="0" borderId="0" xfId="29" applyFont="1" applyProtection="1">
      <protection hidden="1"/>
    </xf>
    <xf numFmtId="0" fontId="76" fillId="25" borderId="0" xfId="29" applyFill="1" applyProtection="1">
      <protection hidden="1"/>
    </xf>
    <xf numFmtId="44" fontId="0" fillId="25" borderId="0" xfId="30" applyFont="1" applyFill="1" applyProtection="1">
      <protection hidden="1"/>
    </xf>
    <xf numFmtId="0" fontId="78" fillId="0" borderId="8" xfId="29" applyFont="1" applyBorder="1" applyProtection="1">
      <protection hidden="1"/>
    </xf>
    <xf numFmtId="44" fontId="0" fillId="31" borderId="8" xfId="30" applyFont="1" applyFill="1" applyBorder="1" applyProtection="1">
      <protection hidden="1"/>
    </xf>
    <xf numFmtId="0" fontId="59" fillId="25" borderId="0" xfId="29" applyFont="1" applyFill="1" applyProtection="1">
      <protection hidden="1"/>
    </xf>
    <xf numFmtId="0" fontId="58" fillId="0" borderId="8" xfId="29" applyFont="1" applyBorder="1" applyProtection="1">
      <protection hidden="1"/>
    </xf>
    <xf numFmtId="0" fontId="79" fillId="25" borderId="0" xfId="29" applyFont="1" applyFill="1" applyProtection="1">
      <protection hidden="1"/>
    </xf>
    <xf numFmtId="44" fontId="58" fillId="25" borderId="0" xfId="30" applyFont="1" applyFill="1" applyProtection="1">
      <protection hidden="1"/>
    </xf>
    <xf numFmtId="0" fontId="7" fillId="25" borderId="0" xfId="25" applyFill="1" applyProtection="1">
      <protection hidden="1"/>
    </xf>
    <xf numFmtId="0" fontId="7" fillId="0" borderId="0" xfId="25" applyProtection="1">
      <protection hidden="1"/>
    </xf>
    <xf numFmtId="9" fontId="28" fillId="0" borderId="0" xfId="25" applyNumberFormat="1" applyFont="1" applyAlignment="1" applyProtection="1">
      <alignment vertical="center"/>
      <protection hidden="1"/>
    </xf>
    <xf numFmtId="0" fontId="76" fillId="0" borderId="0" xfId="25" applyFont="1" applyProtection="1">
      <protection hidden="1"/>
    </xf>
    <xf numFmtId="0" fontId="76" fillId="0" borderId="0" xfId="25" applyFont="1" applyAlignment="1" applyProtection="1">
      <alignment vertical="center"/>
      <protection hidden="1"/>
    </xf>
    <xf numFmtId="44" fontId="7" fillId="0" borderId="0" xfId="28" applyFont="1" applyFill="1" applyAlignment="1" applyProtection="1">
      <alignment vertical="center"/>
      <protection hidden="1"/>
    </xf>
    <xf numFmtId="44" fontId="7" fillId="0" borderId="0" xfId="28" applyFont="1" applyFill="1" applyBorder="1" applyAlignment="1" applyProtection="1">
      <alignment vertical="center"/>
      <protection hidden="1"/>
    </xf>
    <xf numFmtId="44" fontId="7" fillId="0" borderId="0" xfId="28" applyFont="1" applyProtection="1">
      <protection hidden="1"/>
    </xf>
    <xf numFmtId="44" fontId="7" fillId="0" borderId="0" xfId="28" applyFont="1" applyFill="1" applyProtection="1">
      <protection hidden="1"/>
    </xf>
    <xf numFmtId="172" fontId="0" fillId="0" borderId="0" xfId="28" applyNumberFormat="1" applyFont="1" applyProtection="1">
      <protection hidden="1"/>
    </xf>
    <xf numFmtId="44" fontId="28" fillId="0" borderId="80" xfId="28" applyFont="1" applyFill="1" applyBorder="1" applyAlignment="1" applyProtection="1">
      <alignment vertical="center"/>
      <protection hidden="1"/>
    </xf>
    <xf numFmtId="44" fontId="28" fillId="0" borderId="81" xfId="28" applyFont="1" applyBorder="1" applyProtection="1">
      <protection hidden="1"/>
    </xf>
    <xf numFmtId="182" fontId="76" fillId="0" borderId="0" xfId="25" applyNumberFormat="1" applyFont="1" applyAlignment="1" applyProtection="1">
      <alignment vertical="center"/>
      <protection hidden="1"/>
    </xf>
    <xf numFmtId="164" fontId="7" fillId="25" borderId="0" xfId="25" applyNumberFormat="1" applyFill="1" applyProtection="1">
      <protection hidden="1"/>
    </xf>
    <xf numFmtId="44" fontId="7" fillId="0" borderId="0" xfId="28" applyFont="1" applyFill="1" applyBorder="1" applyProtection="1">
      <protection hidden="1"/>
    </xf>
    <xf numFmtId="44" fontId="28" fillId="0" borderId="80" xfId="28" applyFont="1" applyBorder="1" applyProtection="1">
      <protection hidden="1"/>
    </xf>
    <xf numFmtId="44" fontId="0" fillId="0" borderId="0" xfId="28" applyFont="1" applyFill="1" applyAlignment="1" applyProtection="1">
      <alignment vertical="center"/>
      <protection hidden="1"/>
    </xf>
    <xf numFmtId="8" fontId="7" fillId="0" borderId="0" xfId="28" applyNumberFormat="1" applyFont="1" applyProtection="1">
      <protection hidden="1"/>
    </xf>
    <xf numFmtId="0" fontId="76" fillId="0" borderId="0" xfId="25" applyFont="1" applyAlignment="1" applyProtection="1">
      <alignment horizontal="left" vertical="center"/>
      <protection hidden="1"/>
    </xf>
    <xf numFmtId="44" fontId="7" fillId="0" borderId="0" xfId="28" applyFont="1" applyFill="1" applyAlignment="1" applyProtection="1">
      <alignment horizontal="left" vertical="center"/>
      <protection hidden="1"/>
    </xf>
    <xf numFmtId="44" fontId="7" fillId="0" borderId="0" xfId="28" applyFont="1" applyFill="1" applyAlignment="1" applyProtection="1">
      <alignment horizontal="center" vertical="center"/>
      <protection hidden="1"/>
    </xf>
    <xf numFmtId="44" fontId="76" fillId="0" borderId="0" xfId="28" applyFont="1" applyProtection="1">
      <protection hidden="1"/>
    </xf>
    <xf numFmtId="182" fontId="28" fillId="0" borderId="80" xfId="28" applyNumberFormat="1" applyFont="1" applyFill="1" applyBorder="1" applyProtection="1">
      <protection hidden="1"/>
    </xf>
    <xf numFmtId="44" fontId="28" fillId="0" borderId="81" xfId="28" applyFont="1" applyFill="1" applyBorder="1" applyAlignment="1" applyProtection="1">
      <alignment vertical="center"/>
      <protection hidden="1"/>
    </xf>
    <xf numFmtId="44" fontId="28" fillId="0" borderId="80" xfId="27" applyNumberFormat="1" applyFont="1" applyBorder="1" applyProtection="1">
      <protection hidden="1"/>
    </xf>
    <xf numFmtId="8" fontId="7" fillId="0" borderId="0" xfId="28" applyNumberFormat="1" applyFont="1" applyFill="1" applyAlignment="1" applyProtection="1">
      <alignment vertical="center"/>
      <protection hidden="1"/>
    </xf>
    <xf numFmtId="44" fontId="7" fillId="0" borderId="0" xfId="25" applyNumberFormat="1" applyProtection="1">
      <protection hidden="1"/>
    </xf>
    <xf numFmtId="44" fontId="7" fillId="0" borderId="81" xfId="28" applyFont="1" applyFill="1" applyBorder="1" applyAlignment="1" applyProtection="1">
      <alignment vertical="center"/>
      <protection hidden="1"/>
    </xf>
    <xf numFmtId="44" fontId="0" fillId="0" borderId="0" xfId="28" applyFont="1" applyProtection="1">
      <protection hidden="1"/>
    </xf>
    <xf numFmtId="8" fontId="28" fillId="0" borderId="80" xfId="28" applyNumberFormat="1" applyFont="1" applyFill="1" applyBorder="1" applyAlignment="1" applyProtection="1">
      <alignment vertical="center"/>
      <protection hidden="1"/>
    </xf>
    <xf numFmtId="172" fontId="7" fillId="0" borderId="0" xfId="25" applyNumberFormat="1" applyProtection="1">
      <protection hidden="1"/>
    </xf>
    <xf numFmtId="183" fontId="7" fillId="25" borderId="0" xfId="25" applyNumberFormat="1" applyFill="1" applyProtection="1">
      <protection hidden="1"/>
    </xf>
    <xf numFmtId="0" fontId="7" fillId="0" borderId="0" xfId="25" applyAlignment="1" applyProtection="1">
      <alignment horizontal="center"/>
      <protection hidden="1"/>
    </xf>
    <xf numFmtId="182" fontId="76" fillId="11" borderId="0" xfId="25" applyNumberFormat="1" applyFont="1" applyFill="1" applyAlignment="1" applyProtection="1">
      <alignment vertical="center"/>
      <protection locked="0"/>
    </xf>
    <xf numFmtId="6" fontId="28" fillId="11" borderId="0" xfId="25" applyNumberFormat="1" applyFont="1" applyFill="1" applyProtection="1">
      <protection locked="0"/>
    </xf>
    <xf numFmtId="10" fontId="76" fillId="11" borderId="0" xfId="27" applyNumberFormat="1" applyFont="1" applyFill="1" applyAlignment="1" applyProtection="1">
      <alignment vertical="center"/>
      <protection locked="0"/>
    </xf>
    <xf numFmtId="0" fontId="7" fillId="11" borderId="0" xfId="25" applyFill="1" applyProtection="1">
      <protection locked="0"/>
    </xf>
    <xf numFmtId="10" fontId="7" fillId="11" borderId="0" xfId="25" applyNumberFormat="1" applyFill="1" applyProtection="1">
      <protection locked="0"/>
    </xf>
    <xf numFmtId="44" fontId="7" fillId="11" borderId="0" xfId="28" applyFont="1" applyFill="1" applyAlignment="1" applyProtection="1">
      <alignment vertical="center"/>
      <protection locked="0"/>
    </xf>
    <xf numFmtId="0" fontId="76" fillId="11" borderId="0" xfId="25" applyFont="1" applyFill="1" applyProtection="1">
      <protection locked="0"/>
    </xf>
    <xf numFmtId="0" fontId="7" fillId="0" borderId="0" xfId="25" applyProtection="1">
      <protection locked="0"/>
    </xf>
    <xf numFmtId="44" fontId="7" fillId="0" borderId="0" xfId="25" applyNumberFormat="1" applyProtection="1">
      <protection locked="0"/>
    </xf>
    <xf numFmtId="0" fontId="27" fillId="38" borderId="0" xfId="25" applyFont="1" applyFill="1" applyAlignment="1" applyProtection="1">
      <alignment horizontal="center" vertical="center"/>
      <protection hidden="1"/>
    </xf>
    <xf numFmtId="0" fontId="27" fillId="38" borderId="0" xfId="25" applyFont="1" applyFill="1" applyAlignment="1" applyProtection="1">
      <alignment horizontal="center" vertical="center" wrapText="1"/>
      <protection hidden="1"/>
    </xf>
    <xf numFmtId="8" fontId="0" fillId="31" borderId="0" xfId="28" applyNumberFormat="1" applyFont="1" applyFill="1" applyProtection="1">
      <protection hidden="1"/>
    </xf>
    <xf numFmtId="10" fontId="0" fillId="25" borderId="0" xfId="27" applyNumberFormat="1" applyFont="1" applyFill="1" applyProtection="1">
      <protection hidden="1"/>
    </xf>
    <xf numFmtId="44" fontId="0" fillId="25" borderId="0" xfId="28" applyFont="1" applyFill="1" applyProtection="1">
      <protection hidden="1"/>
    </xf>
    <xf numFmtId="44" fontId="7" fillId="25" borderId="0" xfId="25" applyNumberFormat="1" applyFill="1" applyProtection="1">
      <protection hidden="1"/>
    </xf>
    <xf numFmtId="0" fontId="76" fillId="0" borderId="0" xfId="25" applyFont="1" applyAlignment="1" applyProtection="1">
      <alignment horizontal="center" vertical="center" wrapText="1"/>
      <protection hidden="1"/>
    </xf>
    <xf numFmtId="0" fontId="76" fillId="0" borderId="0" xfId="25" applyFont="1" applyAlignment="1" applyProtection="1">
      <alignment horizontal="center" vertical="center"/>
      <protection hidden="1"/>
    </xf>
    <xf numFmtId="8" fontId="7" fillId="0" borderId="0" xfId="25" applyNumberFormat="1" applyAlignment="1" applyProtection="1">
      <alignment horizontal="center"/>
      <protection hidden="1"/>
    </xf>
    <xf numFmtId="8" fontId="7" fillId="0" borderId="0" xfId="25" applyNumberFormat="1" applyProtection="1">
      <protection hidden="1"/>
    </xf>
    <xf numFmtId="17" fontId="7" fillId="0" borderId="0" xfId="25" applyNumberFormat="1" applyProtection="1">
      <protection hidden="1"/>
    </xf>
    <xf numFmtId="10" fontId="0" fillId="40" borderId="0" xfId="27" applyNumberFormat="1" applyFont="1" applyFill="1" applyProtection="1">
      <protection locked="0"/>
    </xf>
    <xf numFmtId="0" fontId="7" fillId="40" borderId="0" xfId="25" applyFill="1" applyAlignment="1" applyProtection="1">
      <alignment horizontal="center"/>
      <protection locked="0"/>
    </xf>
    <xf numFmtId="172" fontId="22" fillId="40" borderId="0" xfId="28" applyNumberFormat="1" applyFont="1" applyFill="1" applyProtection="1">
      <protection locked="0"/>
    </xf>
    <xf numFmtId="0" fontId="19" fillId="0" borderId="0" xfId="0" applyFont="1" applyProtection="1">
      <protection locked="0"/>
    </xf>
    <xf numFmtId="0" fontId="0" fillId="0" borderId="0" xfId="0" applyProtection="1">
      <protection locked="0"/>
    </xf>
    <xf numFmtId="0" fontId="17" fillId="0" borderId="2" xfId="2" applyFont="1" applyAlignment="1" applyProtection="1">
      <alignment horizontal="right"/>
      <protection locked="0"/>
    </xf>
    <xf numFmtId="0" fontId="17" fillId="0" borderId="2" xfId="2" applyFont="1" applyAlignment="1" applyProtection="1">
      <alignment horizontal="center"/>
      <protection locked="0"/>
    </xf>
    <xf numFmtId="0" fontId="18" fillId="0" borderId="2" xfId="2" applyNumberFormat="1" applyFont="1" applyAlignment="1" applyProtection="1">
      <alignment horizontal="center"/>
      <protection locked="0"/>
    </xf>
    <xf numFmtId="0" fontId="23" fillId="0" borderId="2" xfId="2" applyFont="1" applyAlignment="1" applyProtection="1">
      <alignment horizontal="right"/>
      <protection locked="0"/>
    </xf>
    <xf numFmtId="0" fontId="24" fillId="0" borderId="0" xfId="0" applyFont="1" applyAlignment="1" applyProtection="1">
      <alignment wrapText="1"/>
      <protection locked="0"/>
    </xf>
    <xf numFmtId="0" fontId="20" fillId="0" borderId="0" xfId="0" applyFont="1" applyProtection="1">
      <protection locked="0"/>
    </xf>
    <xf numFmtId="0" fontId="39" fillId="4" borderId="20" xfId="0" applyFont="1" applyFill="1" applyBorder="1" applyAlignment="1" applyProtection="1">
      <alignment wrapText="1"/>
      <protection locked="0"/>
    </xf>
    <xf numFmtId="17" fontId="38" fillId="4" borderId="21" xfId="0" quotePrefix="1" applyNumberFormat="1" applyFont="1" applyFill="1" applyBorder="1" applyAlignment="1" applyProtection="1">
      <alignment horizontal="center"/>
      <protection locked="0"/>
    </xf>
    <xf numFmtId="0" fontId="26" fillId="2" borderId="0" xfId="3" applyFont="1" applyAlignment="1" applyProtection="1">
      <alignment wrapText="1"/>
      <protection locked="0"/>
    </xf>
    <xf numFmtId="178" fontId="22" fillId="2" borderId="0" xfId="1" applyNumberFormat="1" applyFont="1" applyFill="1" applyProtection="1">
      <protection locked="0"/>
    </xf>
    <xf numFmtId="179" fontId="22" fillId="2" borderId="0" xfId="1" applyNumberFormat="1" applyFont="1" applyFill="1" applyProtection="1">
      <protection locked="0"/>
    </xf>
    <xf numFmtId="9" fontId="22" fillId="2" borderId="0" xfId="15" applyFont="1" applyFill="1" applyProtection="1">
      <protection locked="0"/>
    </xf>
    <xf numFmtId="0" fontId="21" fillId="4" borderId="1" xfId="0" applyFont="1" applyFill="1" applyBorder="1" applyAlignment="1" applyProtection="1">
      <alignment wrapText="1"/>
      <protection locked="0"/>
    </xf>
    <xf numFmtId="178" fontId="21" fillId="4" borderId="1" xfId="0" applyNumberFormat="1" applyFont="1" applyFill="1" applyBorder="1" applyProtection="1">
      <protection locked="0"/>
    </xf>
    <xf numFmtId="0" fontId="64" fillId="0" borderId="0" xfId="0" applyFont="1" applyProtection="1">
      <protection locked="0"/>
    </xf>
    <xf numFmtId="17" fontId="38" fillId="4" borderId="21" xfId="0" applyNumberFormat="1" applyFont="1" applyFill="1" applyBorder="1" applyAlignment="1" applyProtection="1">
      <alignment horizontal="center"/>
      <protection locked="0"/>
    </xf>
    <xf numFmtId="0" fontId="39" fillId="13" borderId="20" xfId="4" applyFont="1" applyFill="1" applyBorder="1" applyAlignment="1" applyProtection="1">
      <alignment wrapText="1"/>
      <protection locked="0"/>
    </xf>
    <xf numFmtId="17" fontId="38" fillId="13" borderId="21" xfId="4" applyNumberFormat="1" applyFont="1" applyFill="1" applyBorder="1" applyAlignment="1" applyProtection="1">
      <alignment horizontal="center"/>
      <protection locked="0"/>
    </xf>
    <xf numFmtId="0" fontId="26" fillId="14" borderId="22" xfId="4" applyFont="1" applyFill="1" applyBorder="1" applyAlignment="1" applyProtection="1">
      <alignment wrapText="1"/>
      <protection locked="0"/>
    </xf>
    <xf numFmtId="167" fontId="22" fillId="14" borderId="23" xfId="4" applyNumberFormat="1" applyFill="1" applyBorder="1" applyAlignment="1" applyProtection="1">
      <alignment vertical="top" wrapText="1"/>
      <protection locked="0"/>
    </xf>
    <xf numFmtId="167" fontId="22" fillId="14" borderId="24" xfId="4" applyNumberFormat="1" applyFill="1" applyBorder="1" applyProtection="1"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7" fillId="0" borderId="2" xfId="2" applyFont="1" applyAlignment="1" applyProtection="1">
      <alignment horizontal="right"/>
    </xf>
    <xf numFmtId="0" fontId="17" fillId="0" borderId="2" xfId="2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179" fontId="21" fillId="4" borderId="1" xfId="0" applyNumberFormat="1" applyFont="1" applyFill="1" applyBorder="1" applyProtection="1">
      <protection locked="0"/>
    </xf>
    <xf numFmtId="0" fontId="22" fillId="2" borderId="0" xfId="3" applyAlignment="1" applyProtection="1">
      <alignment wrapText="1"/>
      <protection locked="0"/>
    </xf>
    <xf numFmtId="0" fontId="25" fillId="4" borderId="1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169" fontId="19" fillId="0" borderId="0" xfId="0" applyNumberFormat="1" applyFont="1" applyProtection="1">
      <protection locked="0"/>
    </xf>
    <xf numFmtId="0" fontId="23" fillId="0" borderId="2" xfId="2" applyFont="1" applyAlignment="1" applyProtection="1">
      <alignment wrapText="1"/>
      <protection locked="0"/>
    </xf>
    <xf numFmtId="179" fontId="17" fillId="0" borderId="2" xfId="1" applyNumberFormat="1" applyFont="1" applyBorder="1" applyProtection="1">
      <protection locked="0"/>
    </xf>
    <xf numFmtId="0" fontId="17" fillId="0" borderId="3" xfId="2" applyFont="1" applyBorder="1" applyAlignment="1" applyProtection="1">
      <protection locked="0"/>
    </xf>
    <xf numFmtId="0" fontId="18" fillId="0" borderId="3" xfId="2" applyNumberFormat="1" applyFont="1" applyBorder="1" applyAlignment="1" applyProtection="1">
      <alignment horizontal="center"/>
      <protection locked="0"/>
    </xf>
    <xf numFmtId="0" fontId="38" fillId="5" borderId="20" xfId="0" applyFont="1" applyFill="1" applyBorder="1" applyAlignment="1" applyProtection="1">
      <alignment wrapText="1"/>
      <protection locked="0"/>
    </xf>
    <xf numFmtId="17" fontId="38" fillId="5" borderId="21" xfId="4" applyNumberFormat="1" applyFont="1" applyFill="1" applyBorder="1" applyAlignment="1" applyProtection="1">
      <alignment horizontal="center"/>
      <protection locked="0"/>
    </xf>
    <xf numFmtId="0" fontId="26" fillId="3" borderId="0" xfId="4" applyFont="1" applyAlignment="1" applyProtection="1">
      <alignment wrapText="1"/>
      <protection locked="0"/>
    </xf>
    <xf numFmtId="179" fontId="22" fillId="3" borderId="0" xfId="1" applyNumberFormat="1" applyFont="1" applyFill="1" applyProtection="1">
      <protection locked="0"/>
    </xf>
    <xf numFmtId="0" fontId="21" fillId="5" borderId="1" xfId="0" applyFont="1" applyFill="1" applyBorder="1" applyAlignment="1" applyProtection="1">
      <alignment wrapText="1"/>
      <protection locked="0"/>
    </xf>
    <xf numFmtId="179" fontId="21" fillId="5" borderId="1" xfId="0" applyNumberFormat="1" applyFont="1" applyFill="1" applyBorder="1" applyProtection="1">
      <protection locked="0"/>
    </xf>
    <xf numFmtId="179" fontId="38" fillId="5" borderId="58" xfId="0" applyNumberFormat="1" applyFont="1" applyFill="1" applyBorder="1" applyProtection="1">
      <protection locked="0"/>
    </xf>
    <xf numFmtId="179" fontId="64" fillId="0" borderId="0" xfId="1" applyNumberFormat="1" applyFont="1" applyProtection="1">
      <protection locked="0"/>
    </xf>
    <xf numFmtId="0" fontId="64" fillId="0" borderId="0" xfId="0" applyFont="1" applyAlignment="1" applyProtection="1">
      <alignment horizontal="left" wrapText="1"/>
      <protection locked="0"/>
    </xf>
    <xf numFmtId="179" fontId="64" fillId="0" borderId="0" xfId="1" applyNumberFormat="1" applyFont="1" applyBorder="1" applyProtection="1">
      <protection locked="0"/>
    </xf>
    <xf numFmtId="0" fontId="23" fillId="0" borderId="3" xfId="2" applyFont="1" applyBorder="1" applyAlignment="1" applyProtection="1">
      <alignment horizontal="left" wrapText="1"/>
      <protection locked="0"/>
    </xf>
    <xf numFmtId="179" fontId="17" fillId="0" borderId="3" xfId="1" applyNumberFormat="1" applyFont="1" applyBorder="1" applyProtection="1">
      <protection locked="0"/>
    </xf>
    <xf numFmtId="0" fontId="66" fillId="0" borderId="0" xfId="2" applyFont="1" applyBorder="1" applyAlignment="1" applyProtection="1">
      <alignment horizontal="left" wrapText="1"/>
      <protection locked="0"/>
    </xf>
    <xf numFmtId="179" fontId="67" fillId="0" borderId="0" xfId="1" applyNumberFormat="1" applyFont="1" applyBorder="1" applyProtection="1">
      <protection locked="0"/>
    </xf>
    <xf numFmtId="179" fontId="19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right"/>
      <protection locked="0"/>
    </xf>
    <xf numFmtId="179" fontId="17" fillId="0" borderId="0" xfId="1" applyNumberFormat="1" applyFont="1" applyBorder="1" applyProtection="1">
      <protection locked="0"/>
    </xf>
    <xf numFmtId="0" fontId="57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  <protection locked="0"/>
    </xf>
    <xf numFmtId="9" fontId="19" fillId="0" borderId="0" xfId="15" applyFont="1" applyAlignment="1" applyProtection="1">
      <alignment horizontal="center"/>
      <protection locked="0"/>
    </xf>
    <xf numFmtId="0" fontId="25" fillId="13" borderId="20" xfId="4" applyFont="1" applyFill="1" applyBorder="1" applyAlignment="1" applyProtection="1">
      <alignment wrapText="1"/>
      <protection locked="0"/>
    </xf>
    <xf numFmtId="167" fontId="22" fillId="14" borderId="23" xfId="4" applyNumberFormat="1" applyFill="1" applyBorder="1" applyAlignment="1" applyProtection="1">
      <alignment wrapText="1"/>
      <protection locked="0"/>
    </xf>
    <xf numFmtId="167" fontId="22" fillId="14" borderId="23" xfId="4" applyNumberFormat="1" applyFill="1" applyBorder="1" applyProtection="1">
      <protection locked="0"/>
    </xf>
    <xf numFmtId="0" fontId="17" fillId="0" borderId="2" xfId="2" applyFont="1" applyProtection="1"/>
    <xf numFmtId="0" fontId="0" fillId="0" borderId="0" xfId="0" applyProtection="1">
      <protection hidden="1"/>
    </xf>
    <xf numFmtId="0" fontId="85" fillId="25" borderId="45" xfId="33" applyFont="1" applyFill="1" applyBorder="1" applyAlignment="1">
      <alignment horizontal="center" vertical="center"/>
    </xf>
    <xf numFmtId="17" fontId="86" fillId="25" borderId="52" xfId="33" applyNumberFormat="1" applyFont="1" applyFill="1" applyBorder="1" applyAlignment="1" applyProtection="1">
      <alignment horizontal="center" vertical="center"/>
      <protection locked="0"/>
    </xf>
    <xf numFmtId="0" fontId="86" fillId="25" borderId="36" xfId="33" applyFont="1" applyFill="1" applyBorder="1" applyAlignment="1" applyProtection="1">
      <alignment vertical="center" wrapText="1"/>
      <protection locked="0"/>
    </xf>
    <xf numFmtId="0" fontId="86" fillId="25" borderId="0" xfId="33" applyFont="1" applyFill="1" applyAlignment="1" applyProtection="1">
      <alignment vertical="center"/>
      <protection locked="0"/>
    </xf>
    <xf numFmtId="0" fontId="86" fillId="25" borderId="45" xfId="33" applyFont="1" applyFill="1" applyBorder="1" applyAlignment="1" applyProtection="1">
      <alignment vertical="center"/>
      <protection locked="0"/>
    </xf>
    <xf numFmtId="0" fontId="85" fillId="25" borderId="0" xfId="33" applyFont="1" applyFill="1" applyAlignment="1" applyProtection="1">
      <alignment horizontal="center" vertical="center"/>
      <protection locked="0"/>
    </xf>
    <xf numFmtId="0" fontId="72" fillId="41" borderId="0" xfId="33" applyFont="1" applyFill="1" applyProtection="1">
      <protection locked="0"/>
    </xf>
    <xf numFmtId="0" fontId="73" fillId="41" borderId="0" xfId="33" applyFont="1" applyFill="1" applyProtection="1">
      <protection locked="0"/>
    </xf>
    <xf numFmtId="0" fontId="74" fillId="41" borderId="0" xfId="33" applyFont="1" applyFill="1" applyProtection="1">
      <protection locked="0"/>
    </xf>
    <xf numFmtId="0" fontId="32" fillId="8" borderId="0" xfId="33" applyFont="1" applyFill="1" applyProtection="1">
      <protection locked="0"/>
    </xf>
    <xf numFmtId="172" fontId="32" fillId="8" borderId="0" xfId="34" applyNumberFormat="1" applyFont="1" applyFill="1" applyBorder="1" applyProtection="1">
      <protection locked="0"/>
    </xf>
    <xf numFmtId="172" fontId="33" fillId="8" borderId="36" xfId="34" applyNumberFormat="1" applyFont="1" applyFill="1" applyBorder="1" applyProtection="1">
      <protection locked="0"/>
    </xf>
    <xf numFmtId="172" fontId="33" fillId="8" borderId="0" xfId="34" applyNumberFormat="1" applyFont="1" applyFill="1" applyBorder="1" applyProtection="1">
      <protection locked="0"/>
    </xf>
    <xf numFmtId="9" fontId="32" fillId="8" borderId="45" xfId="35" applyFont="1" applyFill="1" applyBorder="1" applyProtection="1">
      <protection locked="0"/>
    </xf>
    <xf numFmtId="172" fontId="32" fillId="8" borderId="45" xfId="34" applyNumberFormat="1" applyFont="1" applyFill="1" applyBorder="1" applyProtection="1">
      <protection locked="0"/>
    </xf>
    <xf numFmtId="0" fontId="74" fillId="41" borderId="0" xfId="33" applyFont="1" applyFill="1" applyAlignment="1" applyProtection="1">
      <alignment horizontal="right"/>
      <protection locked="0"/>
    </xf>
    <xf numFmtId="172" fontId="73" fillId="41" borderId="0" xfId="34" applyNumberFormat="1" applyFont="1" applyFill="1" applyBorder="1" applyProtection="1">
      <protection locked="0"/>
    </xf>
    <xf numFmtId="172" fontId="74" fillId="41" borderId="0" xfId="34" applyNumberFormat="1" applyFont="1" applyFill="1" applyBorder="1" applyProtection="1">
      <protection locked="0"/>
    </xf>
    <xf numFmtId="9" fontId="74" fillId="41" borderId="0" xfId="33" applyNumberFormat="1" applyFont="1" applyFill="1" applyProtection="1">
      <protection locked="0"/>
    </xf>
    <xf numFmtId="0" fontId="32" fillId="25" borderId="0" xfId="33" applyFont="1" applyFill="1" applyProtection="1">
      <protection locked="0"/>
    </xf>
    <xf numFmtId="172" fontId="32" fillId="25" borderId="0" xfId="34" applyNumberFormat="1" applyFont="1" applyFill="1" applyBorder="1" applyProtection="1">
      <protection locked="0"/>
    </xf>
    <xf numFmtId="172" fontId="32" fillId="25" borderId="0" xfId="33" applyNumberFormat="1" applyFont="1" applyFill="1" applyProtection="1">
      <protection locked="0"/>
    </xf>
    <xf numFmtId="172" fontId="33" fillId="25" borderId="0" xfId="34" applyNumberFormat="1" applyFont="1" applyFill="1" applyBorder="1" applyProtection="1">
      <protection locked="0"/>
    </xf>
    <xf numFmtId="172" fontId="73" fillId="41" borderId="0" xfId="33" applyNumberFormat="1" applyFont="1" applyFill="1" applyProtection="1">
      <protection locked="0"/>
    </xf>
    <xf numFmtId="172" fontId="74" fillId="41" borderId="0" xfId="33" applyNumberFormat="1" applyFont="1" applyFill="1" applyProtection="1">
      <protection locked="0"/>
    </xf>
    <xf numFmtId="0" fontId="75" fillId="42" borderId="0" xfId="33" applyFont="1" applyFill="1" applyProtection="1">
      <protection locked="0"/>
    </xf>
    <xf numFmtId="172" fontId="73" fillId="42" borderId="0" xfId="33" applyNumberFormat="1" applyFont="1" applyFill="1" applyProtection="1">
      <protection locked="0"/>
    </xf>
    <xf numFmtId="172" fontId="74" fillId="42" borderId="0" xfId="33" applyNumberFormat="1" applyFont="1" applyFill="1" applyProtection="1">
      <protection locked="0"/>
    </xf>
    <xf numFmtId="9" fontId="74" fillId="42" borderId="0" xfId="35" applyFont="1" applyFill="1" applyBorder="1" applyProtection="1">
      <protection locked="0"/>
    </xf>
    <xf numFmtId="0" fontId="73" fillId="42" borderId="0" xfId="33" applyFont="1" applyFill="1" applyProtection="1">
      <protection locked="0"/>
    </xf>
    <xf numFmtId="0" fontId="86" fillId="25" borderId="0" xfId="33" applyFont="1" applyFill="1" applyAlignment="1" applyProtection="1">
      <alignment horizontal="right"/>
      <protection locked="0"/>
    </xf>
    <xf numFmtId="172" fontId="85" fillId="25" borderId="0" xfId="34" applyNumberFormat="1" applyFont="1" applyFill="1" applyBorder="1" applyProtection="1">
      <protection locked="0"/>
    </xf>
    <xf numFmtId="172" fontId="86" fillId="25" borderId="0" xfId="34" applyNumberFormat="1" applyFont="1" applyFill="1" applyBorder="1" applyProtection="1">
      <protection locked="0"/>
    </xf>
    <xf numFmtId="172" fontId="86" fillId="25" borderId="0" xfId="34" applyNumberFormat="1" applyFont="1" applyFill="1" applyProtection="1">
      <protection locked="0"/>
    </xf>
    <xf numFmtId="0" fontId="85" fillId="25" borderId="0" xfId="33" applyFont="1" applyFill="1" applyProtection="1">
      <protection locked="0"/>
    </xf>
    <xf numFmtId="0" fontId="73" fillId="25" borderId="0" xfId="33" applyFont="1" applyFill="1" applyProtection="1">
      <protection locked="0"/>
    </xf>
    <xf numFmtId="172" fontId="73" fillId="25" borderId="0" xfId="33" applyNumberFormat="1" applyFont="1" applyFill="1" applyProtection="1">
      <protection locked="0"/>
    </xf>
    <xf numFmtId="0" fontId="32" fillId="0" borderId="0" xfId="33" applyFont="1" applyProtection="1">
      <protection locked="0"/>
    </xf>
    <xf numFmtId="0" fontId="86" fillId="0" borderId="8" xfId="33" applyFont="1" applyBorder="1" applyAlignment="1" applyProtection="1">
      <alignment horizontal="right" wrapText="1"/>
      <protection locked="0"/>
    </xf>
    <xf numFmtId="44" fontId="72" fillId="41" borderId="0" xfId="34" applyFont="1" applyFill="1" applyProtection="1">
      <protection locked="0"/>
    </xf>
    <xf numFmtId="0" fontId="5" fillId="25" borderId="0" xfId="33" applyFill="1" applyProtection="1">
      <protection locked="0"/>
    </xf>
    <xf numFmtId="0" fontId="5" fillId="0" borderId="0" xfId="33" applyProtection="1">
      <protection hidden="1"/>
    </xf>
    <xf numFmtId="0" fontId="23" fillId="0" borderId="2" xfId="2" applyFont="1" applyAlignment="1" applyProtection="1">
      <alignment horizontal="left"/>
      <protection locked="0"/>
    </xf>
    <xf numFmtId="9" fontId="33" fillId="0" borderId="0" xfId="37" applyFont="1" applyAlignment="1">
      <alignment horizontal="center" vertical="center"/>
    </xf>
    <xf numFmtId="9" fontId="32" fillId="0" borderId="0" xfId="37" applyFont="1" applyAlignment="1">
      <alignment horizontal="center"/>
    </xf>
    <xf numFmtId="179" fontId="32" fillId="24" borderId="13" xfId="1" applyNumberFormat="1" applyFont="1" applyFill="1" applyBorder="1"/>
    <xf numFmtId="9" fontId="33" fillId="24" borderId="13" xfId="37" applyFont="1" applyFill="1" applyBorder="1" applyAlignment="1">
      <alignment horizontal="center"/>
    </xf>
    <xf numFmtId="180" fontId="32" fillId="0" borderId="0" xfId="37" applyNumberFormat="1" applyFont="1" applyAlignment="1">
      <alignment horizontal="right"/>
    </xf>
    <xf numFmtId="179" fontId="33" fillId="0" borderId="0" xfId="1" applyNumberFormat="1" applyFont="1" applyProtection="1">
      <protection locked="0"/>
    </xf>
    <xf numFmtId="180" fontId="33" fillId="0" borderId="0" xfId="37" applyNumberFormat="1" applyFont="1" applyAlignment="1" applyProtection="1">
      <alignment horizontal="right"/>
      <protection locked="0"/>
    </xf>
    <xf numFmtId="179" fontId="33" fillId="24" borderId="13" xfId="1" applyNumberFormat="1" applyFont="1" applyFill="1" applyBorder="1" applyProtection="1">
      <protection locked="0"/>
    </xf>
    <xf numFmtId="179" fontId="32" fillId="24" borderId="13" xfId="1" applyNumberFormat="1" applyFont="1" applyFill="1" applyBorder="1" applyProtection="1">
      <protection locked="0"/>
    </xf>
    <xf numFmtId="9" fontId="33" fillId="24" borderId="13" xfId="37" applyFont="1" applyFill="1" applyBorder="1" applyAlignment="1">
      <alignment horizontal="right"/>
    </xf>
    <xf numFmtId="178" fontId="32" fillId="0" borderId="0" xfId="1" applyNumberFormat="1" applyFont="1"/>
    <xf numFmtId="180" fontId="33" fillId="0" borderId="0" xfId="37" applyNumberFormat="1" applyFont="1" applyAlignment="1">
      <alignment horizontal="right"/>
    </xf>
    <xf numFmtId="10" fontId="32" fillId="0" borderId="0" xfId="37" applyNumberFormat="1" applyFont="1"/>
    <xf numFmtId="180" fontId="32" fillId="24" borderId="13" xfId="37" applyNumberFormat="1" applyFont="1" applyFill="1" applyBorder="1" applyAlignment="1">
      <alignment horizontal="right"/>
    </xf>
    <xf numFmtId="9" fontId="32" fillId="0" borderId="0" xfId="37" applyFont="1" applyAlignment="1">
      <alignment horizontal="right"/>
    </xf>
    <xf numFmtId="9" fontId="32" fillId="0" borderId="19" xfId="37" applyFont="1" applyBorder="1" applyAlignment="1">
      <alignment horizontal="center"/>
    </xf>
    <xf numFmtId="179" fontId="33" fillId="25" borderId="0" xfId="1" applyNumberFormat="1" applyFont="1" applyFill="1" applyAlignment="1">
      <alignment horizontal="center" vertical="center"/>
    </xf>
    <xf numFmtId="9" fontId="33" fillId="25" borderId="0" xfId="37" applyFont="1" applyFill="1" applyAlignment="1">
      <alignment horizontal="center" vertical="center"/>
    </xf>
    <xf numFmtId="179" fontId="32" fillId="25" borderId="0" xfId="1" applyNumberFormat="1" applyFont="1" applyFill="1"/>
    <xf numFmtId="9" fontId="32" fillId="25" borderId="0" xfId="37" applyFont="1" applyFill="1" applyAlignment="1">
      <alignment horizontal="center"/>
    </xf>
    <xf numFmtId="179" fontId="33" fillId="25" borderId="0" xfId="1" applyNumberFormat="1" applyFont="1" applyFill="1"/>
    <xf numFmtId="179" fontId="32" fillId="25" borderId="0" xfId="1" applyNumberFormat="1" applyFont="1" applyFill="1" applyAlignment="1">
      <alignment horizontal="right"/>
    </xf>
    <xf numFmtId="9" fontId="32" fillId="25" borderId="0" xfId="37" applyFont="1" applyFill="1" applyAlignment="1">
      <alignment horizontal="right"/>
    </xf>
    <xf numFmtId="179" fontId="32" fillId="25" borderId="0" xfId="1" applyNumberFormat="1" applyFont="1" applyFill="1" applyProtection="1">
      <protection locked="0"/>
    </xf>
    <xf numFmtId="0" fontId="32" fillId="25" borderId="0" xfId="38" applyFont="1" applyFill="1" applyAlignment="1">
      <alignment horizontal="center" vertical="center"/>
    </xf>
    <xf numFmtId="0" fontId="32" fillId="25" borderId="0" xfId="38" applyFont="1" applyFill="1" applyAlignment="1">
      <alignment horizontal="center"/>
    </xf>
    <xf numFmtId="0" fontId="32" fillId="0" borderId="0" xfId="38" applyFont="1" applyAlignment="1">
      <alignment horizontal="center" vertical="center"/>
    </xf>
    <xf numFmtId="0" fontId="32" fillId="25" borderId="0" xfId="38" applyFont="1" applyFill="1"/>
    <xf numFmtId="0" fontId="32" fillId="0" borderId="0" xfId="38" applyFont="1"/>
    <xf numFmtId="0" fontId="61" fillId="25" borderId="0" xfId="38" applyFont="1" applyFill="1"/>
    <xf numFmtId="0" fontId="33" fillId="25" borderId="0" xfId="38" applyFont="1" applyFill="1" applyAlignment="1">
      <alignment horizontal="right"/>
    </xf>
    <xf numFmtId="0" fontId="61" fillId="0" borderId="0" xfId="38" applyFont="1"/>
    <xf numFmtId="0" fontId="32" fillId="24" borderId="13" xfId="38" applyFont="1" applyFill="1" applyBorder="1"/>
    <xf numFmtId="0" fontId="33" fillId="24" borderId="13" xfId="38" applyFont="1" applyFill="1" applyBorder="1"/>
    <xf numFmtId="9" fontId="33" fillId="22" borderId="17" xfId="38" applyNumberFormat="1" applyFont="1" applyFill="1" applyBorder="1" applyAlignment="1">
      <alignment horizontal="center" vertical="center"/>
    </xf>
    <xf numFmtId="0" fontId="62" fillId="0" borderId="0" xfId="38" applyFont="1"/>
    <xf numFmtId="9" fontId="33" fillId="24" borderId="13" xfId="38" applyNumberFormat="1" applyFont="1" applyFill="1" applyBorder="1" applyAlignment="1">
      <alignment horizontal="center" vertical="center"/>
    </xf>
    <xf numFmtId="9" fontId="33" fillId="22" borderId="0" xfId="38" applyNumberFormat="1" applyFont="1" applyFill="1" applyAlignment="1">
      <alignment horizontal="center" vertical="center"/>
    </xf>
    <xf numFmtId="0" fontId="33" fillId="0" borderId="0" xfId="38" applyFont="1" applyAlignment="1">
      <alignment horizontal="right"/>
    </xf>
    <xf numFmtId="9" fontId="32" fillId="24" borderId="13" xfId="38" applyNumberFormat="1" applyFont="1" applyFill="1" applyBorder="1" applyAlignment="1">
      <alignment vertical="center"/>
    </xf>
    <xf numFmtId="0" fontId="32" fillId="24" borderId="13" xfId="38" applyFont="1" applyFill="1" applyBorder="1" applyAlignment="1">
      <alignment vertical="center"/>
    </xf>
    <xf numFmtId="0" fontId="33" fillId="24" borderId="13" xfId="38" applyFont="1" applyFill="1" applyBorder="1" applyAlignment="1">
      <alignment horizontal="left"/>
    </xf>
    <xf numFmtId="0" fontId="34" fillId="0" borderId="0" xfId="38" applyFont="1"/>
    <xf numFmtId="0" fontId="36" fillId="0" borderId="0" xfId="38" applyFont="1" applyAlignment="1">
      <alignment vertical="center"/>
    </xf>
    <xf numFmtId="179" fontId="33" fillId="0" borderId="0" xfId="38" applyNumberFormat="1" applyFont="1"/>
    <xf numFmtId="9" fontId="32" fillId="0" borderId="0" xfId="38" applyNumberFormat="1" applyFont="1"/>
    <xf numFmtId="0" fontId="87" fillId="14" borderId="22" xfId="4" applyFont="1" applyFill="1" applyBorder="1" applyAlignment="1" applyProtection="1">
      <alignment vertical="center" wrapText="1"/>
      <protection locked="0"/>
    </xf>
    <xf numFmtId="0" fontId="26" fillId="14" borderId="0" xfId="4" applyFont="1" applyFill="1" applyBorder="1" applyAlignment="1" applyProtection="1">
      <alignment vertical="center" wrapText="1"/>
      <protection locked="0"/>
    </xf>
    <xf numFmtId="0" fontId="58" fillId="25" borderId="0" xfId="0" applyFont="1" applyFill="1" applyAlignment="1">
      <alignment vertical="center"/>
    </xf>
    <xf numFmtId="0" fontId="76" fillId="0" borderId="0" xfId="0" applyFont="1" applyAlignment="1">
      <alignment vertical="center"/>
    </xf>
    <xf numFmtId="0" fontId="76" fillId="25" borderId="0" xfId="0" applyFont="1" applyFill="1" applyAlignment="1">
      <alignment vertical="center"/>
    </xf>
    <xf numFmtId="0" fontId="76" fillId="25" borderId="0" xfId="0" applyFont="1" applyFill="1" applyAlignment="1">
      <alignment vertical="top" wrapText="1"/>
    </xf>
    <xf numFmtId="0" fontId="76" fillId="0" borderId="0" xfId="0" applyFont="1" applyAlignment="1">
      <alignment vertical="center" wrapText="1"/>
    </xf>
    <xf numFmtId="0" fontId="83" fillId="10" borderId="88" xfId="0" applyFont="1" applyFill="1" applyBorder="1" applyAlignment="1">
      <alignment horizontal="center" vertical="center" wrapText="1"/>
    </xf>
    <xf numFmtId="6" fontId="33" fillId="0" borderId="5" xfId="0" applyNumberFormat="1" applyFont="1" applyBorder="1" applyAlignment="1">
      <alignment horizontal="center" vertical="center"/>
    </xf>
    <xf numFmtId="0" fontId="76" fillId="21" borderId="10" xfId="0" applyFont="1" applyFill="1" applyBorder="1" applyAlignment="1">
      <alignment vertical="center" wrapText="1"/>
    </xf>
    <xf numFmtId="0" fontId="83" fillId="10" borderId="89" xfId="0" applyFont="1" applyFill="1" applyBorder="1" applyAlignment="1">
      <alignment horizontal="center" vertical="center" wrapText="1"/>
    </xf>
    <xf numFmtId="6" fontId="33" fillId="0" borderId="5" xfId="0" applyNumberFormat="1" applyFont="1" applyBorder="1" applyAlignment="1">
      <alignment horizontal="center" vertical="center" wrapText="1"/>
    </xf>
    <xf numFmtId="0" fontId="83" fillId="10" borderId="12" xfId="0" applyFont="1" applyFill="1" applyBorder="1" applyAlignment="1">
      <alignment horizontal="center" vertical="center" wrapText="1"/>
    </xf>
    <xf numFmtId="0" fontId="76" fillId="25" borderId="0" xfId="0" applyFont="1" applyFill="1" applyAlignment="1">
      <alignment horizontal="left" vertical="center"/>
    </xf>
    <xf numFmtId="9" fontId="76" fillId="25" borderId="0" xfId="0" applyNumberFormat="1" applyFont="1" applyFill="1" applyAlignment="1">
      <alignment horizontal="left" vertical="center"/>
    </xf>
    <xf numFmtId="0" fontId="89" fillId="25" borderId="16" xfId="0" applyFont="1" applyFill="1" applyBorder="1" applyAlignment="1">
      <alignment horizontal="center" vertical="center"/>
    </xf>
    <xf numFmtId="0" fontId="89" fillId="25" borderId="17" xfId="0" applyFont="1" applyFill="1" applyBorder="1" applyAlignment="1">
      <alignment horizontal="center" vertical="center"/>
    </xf>
    <xf numFmtId="0" fontId="89" fillId="25" borderId="18" xfId="0" applyFont="1" applyFill="1" applyBorder="1" applyAlignment="1">
      <alignment horizontal="center" vertical="center"/>
    </xf>
    <xf numFmtId="0" fontId="76" fillId="25" borderId="6" xfId="0" applyFont="1" applyFill="1" applyBorder="1" applyAlignment="1">
      <alignment vertical="center"/>
    </xf>
    <xf numFmtId="0" fontId="89" fillId="25" borderId="0" xfId="0" applyFont="1" applyFill="1" applyAlignment="1">
      <alignment vertical="center"/>
    </xf>
    <xf numFmtId="0" fontId="76" fillId="25" borderId="9" xfId="0" applyFont="1" applyFill="1" applyBorder="1" applyAlignment="1">
      <alignment vertical="center"/>
    </xf>
    <xf numFmtId="185" fontId="33" fillId="25" borderId="0" xfId="1" applyNumberFormat="1" applyFont="1" applyFill="1" applyBorder="1" applyAlignment="1">
      <alignment vertical="center"/>
    </xf>
    <xf numFmtId="0" fontId="32" fillId="25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185" fontId="58" fillId="25" borderId="0" xfId="1" applyNumberFormat="1" applyFont="1" applyFill="1" applyBorder="1" applyAlignment="1">
      <alignment vertical="center"/>
    </xf>
    <xf numFmtId="180" fontId="58" fillId="25" borderId="0" xfId="37" applyNumberFormat="1" applyFont="1" applyFill="1" applyBorder="1" applyAlignment="1">
      <alignment horizontal="center" vertical="center"/>
    </xf>
    <xf numFmtId="0" fontId="83" fillId="12" borderId="0" xfId="0" applyFont="1" applyFill="1" applyAlignment="1">
      <alignment vertical="center" wrapText="1"/>
    </xf>
    <xf numFmtId="6" fontId="76" fillId="0" borderId="0" xfId="0" applyNumberFormat="1" applyFont="1" applyAlignment="1">
      <alignment vertical="center"/>
    </xf>
    <xf numFmtId="0" fontId="83" fillId="12" borderId="13" xfId="0" applyFont="1" applyFill="1" applyBorder="1" applyAlignment="1">
      <alignment vertical="center" wrapText="1"/>
    </xf>
    <xf numFmtId="6" fontId="22" fillId="24" borderId="0" xfId="0" applyNumberFormat="1" applyFont="1" applyFill="1" applyAlignment="1">
      <alignment horizontal="center" vertical="center"/>
    </xf>
    <xf numFmtId="6" fontId="91" fillId="24" borderId="13" xfId="0" applyNumberFormat="1" applyFont="1" applyFill="1" applyBorder="1" applyAlignment="1">
      <alignment horizontal="center" vertical="center"/>
    </xf>
    <xf numFmtId="0" fontId="76" fillId="25" borderId="12" xfId="0" applyFont="1" applyFill="1" applyBorder="1" applyAlignment="1">
      <alignment vertical="center"/>
    </xf>
    <xf numFmtId="0" fontId="76" fillId="25" borderId="13" xfId="0" applyFont="1" applyFill="1" applyBorder="1" applyAlignment="1">
      <alignment vertical="center"/>
    </xf>
    <xf numFmtId="0" fontId="76" fillId="25" borderId="14" xfId="0" applyFont="1" applyFill="1" applyBorder="1" applyAlignment="1">
      <alignment vertical="center"/>
    </xf>
    <xf numFmtId="0" fontId="28" fillId="0" borderId="0" xfId="39" applyFont="1" applyAlignment="1">
      <alignment horizontal="center" vertical="center"/>
    </xf>
    <xf numFmtId="0" fontId="28" fillId="0" borderId="0" xfId="39" applyFont="1" applyAlignment="1">
      <alignment horizontal="center" vertical="center" wrapText="1"/>
    </xf>
    <xf numFmtId="0" fontId="28" fillId="43" borderId="0" xfId="39" applyFont="1" applyFill="1" applyAlignment="1">
      <alignment horizontal="center" vertical="center" wrapText="1"/>
    </xf>
    <xf numFmtId="180" fontId="28" fillId="0" borderId="0" xfId="39" applyNumberFormat="1" applyFont="1" applyAlignment="1">
      <alignment horizontal="center" vertical="center" wrapText="1"/>
    </xf>
    <xf numFmtId="0" fontId="2" fillId="0" borderId="0" xfId="39"/>
    <xf numFmtId="185" fontId="0" fillId="0" borderId="0" xfId="40" applyNumberFormat="1" applyFont="1" applyFill="1"/>
    <xf numFmtId="166" fontId="28" fillId="0" borderId="0" xfId="40" applyFont="1" applyFill="1"/>
    <xf numFmtId="166" fontId="0" fillId="0" borderId="0" xfId="40" applyFont="1" applyFill="1"/>
    <xf numFmtId="166" fontId="0" fillId="43" borderId="0" xfId="40" applyFont="1" applyFill="1"/>
    <xf numFmtId="180" fontId="93" fillId="0" borderId="0" xfId="41" applyNumberFormat="1" applyFont="1" applyFill="1"/>
    <xf numFmtId="166" fontId="0" fillId="0" borderId="0" xfId="40" applyFont="1"/>
    <xf numFmtId="0" fontId="2" fillId="23" borderId="0" xfId="39" applyFill="1"/>
    <xf numFmtId="185" fontId="0" fillId="23" borderId="0" xfId="40" applyNumberFormat="1" applyFont="1" applyFill="1"/>
    <xf numFmtId="166" fontId="28" fillId="23" borderId="0" xfId="40" applyFont="1" applyFill="1"/>
    <xf numFmtId="166" fontId="0" fillId="23" borderId="0" xfId="40" applyFont="1" applyFill="1"/>
    <xf numFmtId="180" fontId="93" fillId="23" borderId="0" xfId="41" applyNumberFormat="1" applyFont="1" applyFill="1"/>
    <xf numFmtId="44" fontId="2" fillId="0" borderId="0" xfId="39" applyNumberFormat="1"/>
    <xf numFmtId="0" fontId="2" fillId="11" borderId="0" xfId="39" applyFill="1"/>
    <xf numFmtId="180" fontId="2" fillId="0" borderId="0" xfId="39" applyNumberFormat="1"/>
    <xf numFmtId="9" fontId="33" fillId="0" borderId="0" xfId="37" applyFont="1" applyAlignment="1">
      <alignment horizontal="left" vertical="center"/>
    </xf>
    <xf numFmtId="17" fontId="94" fillId="25" borderId="52" xfId="0" applyNumberFormat="1" applyFont="1" applyFill="1" applyBorder="1" applyAlignment="1" applyProtection="1">
      <alignment horizontal="center" vertical="center"/>
      <protection locked="0"/>
    </xf>
    <xf numFmtId="0" fontId="94" fillId="25" borderId="36" xfId="0" applyFont="1" applyFill="1" applyBorder="1" applyAlignment="1" applyProtection="1">
      <alignment vertical="center" wrapText="1"/>
      <protection locked="0"/>
    </xf>
    <xf numFmtId="0" fontId="94" fillId="25" borderId="0" xfId="0" applyFont="1" applyFill="1" applyAlignment="1" applyProtection="1">
      <alignment vertical="center"/>
      <protection locked="0"/>
    </xf>
    <xf numFmtId="0" fontId="94" fillId="25" borderId="45" xfId="0" applyFont="1" applyFill="1" applyBorder="1" applyAlignment="1" applyProtection="1">
      <alignment vertical="center"/>
      <protection locked="0"/>
    </xf>
    <xf numFmtId="0" fontId="73" fillId="44" borderId="0" xfId="0" applyFont="1" applyFill="1" applyProtection="1">
      <protection locked="0"/>
    </xf>
    <xf numFmtId="0" fontId="74" fillId="44" borderId="0" xfId="0" applyFont="1" applyFill="1" applyProtection="1">
      <protection locked="0"/>
    </xf>
    <xf numFmtId="172" fontId="32" fillId="45" borderId="0" xfId="1" applyNumberFormat="1" applyFont="1" applyFill="1" applyBorder="1" applyProtection="1">
      <protection locked="0"/>
    </xf>
    <xf numFmtId="172" fontId="33" fillId="45" borderId="36" xfId="1" applyNumberFormat="1" applyFont="1" applyFill="1" applyBorder="1" applyProtection="1">
      <protection locked="0"/>
    </xf>
    <xf numFmtId="172" fontId="33" fillId="45" borderId="0" xfId="1" applyNumberFormat="1" applyFont="1" applyFill="1" applyBorder="1" applyProtection="1">
      <protection locked="0"/>
    </xf>
    <xf numFmtId="9" fontId="32" fillId="45" borderId="45" xfId="15" applyFont="1" applyFill="1" applyBorder="1" applyProtection="1">
      <protection locked="0"/>
    </xf>
    <xf numFmtId="172" fontId="73" fillId="44" borderId="0" xfId="1" applyNumberFormat="1" applyFont="1" applyFill="1" applyBorder="1" applyProtection="1">
      <protection locked="0"/>
    </xf>
    <xf numFmtId="172" fontId="74" fillId="44" borderId="0" xfId="1" applyNumberFormat="1" applyFont="1" applyFill="1" applyBorder="1" applyProtection="1">
      <protection locked="0"/>
    </xf>
    <xf numFmtId="9" fontId="74" fillId="44" borderId="0" xfId="0" applyNumberFormat="1" applyFont="1" applyFill="1" applyProtection="1">
      <protection locked="0"/>
    </xf>
    <xf numFmtId="172" fontId="32" fillId="25" borderId="0" xfId="1" applyNumberFormat="1" applyFont="1" applyFill="1" applyBorder="1" applyProtection="1">
      <protection locked="0"/>
    </xf>
    <xf numFmtId="172" fontId="32" fillId="25" borderId="0" xfId="0" applyNumberFormat="1" applyFont="1" applyFill="1" applyProtection="1">
      <protection locked="0"/>
    </xf>
    <xf numFmtId="172" fontId="33" fillId="25" borderId="0" xfId="1" applyNumberFormat="1" applyFont="1" applyFill="1" applyBorder="1" applyProtection="1">
      <protection locked="0"/>
    </xf>
    <xf numFmtId="0" fontId="32" fillId="25" borderId="0" xfId="0" applyFont="1" applyFill="1" applyProtection="1">
      <protection locked="0"/>
    </xf>
    <xf numFmtId="172" fontId="73" fillId="44" borderId="0" xfId="0" applyNumberFormat="1" applyFont="1" applyFill="1" applyProtection="1">
      <protection locked="0"/>
    </xf>
    <xf numFmtId="172" fontId="74" fillId="44" borderId="0" xfId="0" applyNumberFormat="1" applyFont="1" applyFill="1" applyProtection="1">
      <protection locked="0"/>
    </xf>
    <xf numFmtId="172" fontId="73" fillId="9" borderId="0" xfId="0" applyNumberFormat="1" applyFont="1" applyFill="1" applyProtection="1">
      <protection locked="0"/>
    </xf>
    <xf numFmtId="172" fontId="74" fillId="9" borderId="0" xfId="0" applyNumberFormat="1" applyFont="1" applyFill="1" applyProtection="1">
      <protection locked="0"/>
    </xf>
    <xf numFmtId="9" fontId="74" fillId="9" borderId="0" xfId="15" applyFont="1" applyFill="1" applyBorder="1" applyProtection="1">
      <protection locked="0"/>
    </xf>
    <xf numFmtId="172" fontId="35" fillId="25" borderId="0" xfId="1" applyNumberFormat="1" applyFont="1" applyFill="1" applyBorder="1" applyProtection="1">
      <protection locked="0"/>
    </xf>
    <xf numFmtId="172" fontId="94" fillId="25" borderId="0" xfId="1" applyNumberFormat="1" applyFont="1" applyFill="1" applyBorder="1" applyProtection="1">
      <protection locked="0"/>
    </xf>
    <xf numFmtId="172" fontId="94" fillId="25" borderId="0" xfId="1" applyNumberFormat="1" applyFont="1" applyFill="1" applyProtection="1">
      <protection locked="0"/>
    </xf>
    <xf numFmtId="0" fontId="35" fillId="25" borderId="0" xfId="0" applyFont="1" applyFill="1" applyProtection="1">
      <protection locked="0"/>
    </xf>
    <xf numFmtId="172" fontId="73" fillId="25" borderId="0" xfId="0" applyNumberFormat="1" applyFont="1" applyFill="1" applyProtection="1">
      <protection locked="0"/>
    </xf>
    <xf numFmtId="0" fontId="73" fillId="25" borderId="0" xfId="0" applyFont="1" applyFill="1" applyProtection="1">
      <protection locked="0"/>
    </xf>
    <xf numFmtId="0" fontId="0" fillId="25" borderId="0" xfId="0" applyFill="1" applyProtection="1">
      <protection locked="0"/>
    </xf>
    <xf numFmtId="0" fontId="72" fillId="44" borderId="0" xfId="0" applyFont="1" applyFill="1" applyProtection="1">
      <protection locked="0"/>
    </xf>
    <xf numFmtId="0" fontId="32" fillId="45" borderId="0" xfId="0" applyFont="1" applyFill="1" applyProtection="1">
      <protection locked="0"/>
    </xf>
    <xf numFmtId="0" fontId="74" fillId="44" borderId="0" xfId="0" applyFont="1" applyFill="1" applyAlignment="1" applyProtection="1">
      <alignment horizontal="right"/>
      <protection locked="0"/>
    </xf>
    <xf numFmtId="0" fontId="75" fillId="9" borderId="0" xfId="0" applyFont="1" applyFill="1" applyProtection="1">
      <protection locked="0"/>
    </xf>
    <xf numFmtId="0" fontId="94" fillId="25" borderId="0" xfId="0" applyFont="1" applyFill="1" applyAlignment="1" applyProtection="1">
      <alignment horizontal="right"/>
      <protection locked="0"/>
    </xf>
    <xf numFmtId="0" fontId="32" fillId="0" borderId="0" xfId="0" applyFont="1" applyProtection="1">
      <protection locked="0"/>
    </xf>
    <xf numFmtId="0" fontId="94" fillId="0" borderId="8" xfId="0" applyFont="1" applyBorder="1" applyAlignment="1" applyProtection="1">
      <alignment horizontal="right" wrapText="1"/>
      <protection locked="0"/>
    </xf>
    <xf numFmtId="166" fontId="72" fillId="44" borderId="0" xfId="1" applyFont="1" applyFill="1" applyProtection="1">
      <protection locked="0"/>
    </xf>
    <xf numFmtId="0" fontId="25" fillId="14" borderId="84" xfId="4" applyFont="1" applyFill="1" applyBorder="1" applyAlignment="1" applyProtection="1">
      <alignment horizontal="left" vertical="top" wrapText="1"/>
      <protection locked="0"/>
    </xf>
    <xf numFmtId="0" fontId="25" fillId="14" borderId="83" xfId="4" applyFont="1" applyFill="1" applyBorder="1" applyAlignment="1" applyProtection="1">
      <alignment horizontal="left" vertical="top" wrapText="1"/>
      <protection locked="0"/>
    </xf>
    <xf numFmtId="0" fontId="39" fillId="13" borderId="82" xfId="4" applyFont="1" applyFill="1" applyBorder="1" applyAlignment="1" applyProtection="1">
      <alignment horizontal="center" wrapText="1"/>
      <protection locked="0"/>
    </xf>
    <xf numFmtId="0" fontId="39" fillId="13" borderId="20" xfId="4" applyFont="1" applyFill="1" applyBorder="1" applyAlignment="1" applyProtection="1">
      <alignment horizontal="center" wrapText="1"/>
      <protection locked="0"/>
    </xf>
    <xf numFmtId="0" fontId="23" fillId="0" borderId="2" xfId="2" applyFont="1" applyAlignment="1" applyProtection="1">
      <alignment horizontal="left" wrapText="1"/>
      <protection locked="0"/>
    </xf>
    <xf numFmtId="0" fontId="23" fillId="0" borderId="2" xfId="2" applyFont="1" applyAlignment="1">
      <alignment horizontal="left" wrapText="1"/>
    </xf>
    <xf numFmtId="0" fontId="68" fillId="12" borderId="4" xfId="0" applyFont="1" applyFill="1" applyBorder="1" applyAlignment="1">
      <alignment horizontal="center" vertical="center"/>
    </xf>
    <xf numFmtId="0" fontId="68" fillId="12" borderId="5" xfId="0" applyFont="1" applyFill="1" applyBorder="1" applyAlignment="1">
      <alignment horizontal="center" vertical="center"/>
    </xf>
    <xf numFmtId="0" fontId="68" fillId="12" borderId="10" xfId="0" applyFont="1" applyFill="1" applyBorder="1" applyAlignment="1">
      <alignment horizontal="center" vertical="center"/>
    </xf>
    <xf numFmtId="0" fontId="0" fillId="9" borderId="53" xfId="0" applyFill="1" applyBorder="1" applyAlignment="1">
      <alignment horizontal="left" vertical="top" wrapText="1"/>
    </xf>
    <xf numFmtId="0" fontId="0" fillId="9" borderId="56" xfId="0" applyFill="1" applyBorder="1" applyAlignment="1">
      <alignment horizontal="left" vertical="top" wrapText="1"/>
    </xf>
    <xf numFmtId="0" fontId="0" fillId="9" borderId="1" xfId="0" applyFill="1" applyBorder="1" applyAlignment="1">
      <alignment horizontal="left" vertical="top" wrapText="1"/>
    </xf>
    <xf numFmtId="0" fontId="0" fillId="9" borderId="57" xfId="0" applyFill="1" applyBorder="1" applyAlignment="1">
      <alignment horizontal="left" vertical="top" wrapText="1"/>
    </xf>
    <xf numFmtId="0" fontId="68" fillId="7" borderId="4" xfId="0" applyFont="1" applyFill="1" applyBorder="1" applyAlignment="1">
      <alignment horizontal="center" vertical="center"/>
    </xf>
    <xf numFmtId="0" fontId="68" fillId="7" borderId="5" xfId="0" applyFont="1" applyFill="1" applyBorder="1" applyAlignment="1">
      <alignment horizontal="center" vertical="center"/>
    </xf>
    <xf numFmtId="0" fontId="68" fillId="7" borderId="10" xfId="0" applyFont="1" applyFill="1" applyBorder="1" applyAlignment="1">
      <alignment horizontal="center" vertical="center"/>
    </xf>
    <xf numFmtId="0" fontId="0" fillId="22" borderId="53" xfId="0" applyFill="1" applyBorder="1" applyAlignment="1">
      <alignment horizontal="left" vertical="top" wrapText="1"/>
    </xf>
    <xf numFmtId="0" fontId="0" fillId="22" borderId="56" xfId="0" applyFill="1" applyBorder="1" applyAlignment="1">
      <alignment horizontal="left" vertical="top" wrapText="1"/>
    </xf>
    <xf numFmtId="0" fontId="0" fillId="22" borderId="0" xfId="0" applyFill="1" applyAlignment="1">
      <alignment horizontal="left" vertical="top" wrapText="1"/>
    </xf>
    <xf numFmtId="0" fontId="0" fillId="22" borderId="9" xfId="0" applyFill="1" applyBorder="1" applyAlignment="1">
      <alignment horizontal="left" vertical="top" wrapText="1"/>
    </xf>
    <xf numFmtId="0" fontId="0" fillId="22" borderId="1" xfId="0" applyFill="1" applyBorder="1" applyAlignment="1">
      <alignment horizontal="left" vertical="top" wrapText="1"/>
    </xf>
    <xf numFmtId="0" fontId="0" fillId="22" borderId="57" xfId="0" applyFill="1" applyBorder="1" applyAlignment="1">
      <alignment horizontal="left" vertical="top" wrapText="1"/>
    </xf>
    <xf numFmtId="0" fontId="59" fillId="23" borderId="7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/>
    </xf>
    <xf numFmtId="0" fontId="27" fillId="10" borderId="13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59" fillId="11" borderId="16" xfId="0" applyFont="1" applyFill="1" applyBorder="1" applyAlignment="1">
      <alignment horizontal="center" vertical="center"/>
    </xf>
    <xf numFmtId="0" fontId="59" fillId="11" borderId="6" xfId="0" applyFont="1" applyFill="1" applyBorder="1" applyAlignment="1">
      <alignment horizontal="center" vertical="center"/>
    </xf>
    <xf numFmtId="0" fontId="59" fillId="11" borderId="17" xfId="0" applyFont="1" applyFill="1" applyBorder="1" applyAlignment="1">
      <alignment horizontal="center" vertical="center"/>
    </xf>
    <xf numFmtId="0" fontId="59" fillId="11" borderId="0" xfId="0" applyFont="1" applyFill="1" applyAlignment="1">
      <alignment horizontal="center" vertical="center"/>
    </xf>
    <xf numFmtId="171" fontId="59" fillId="11" borderId="17" xfId="1" applyNumberFormat="1" applyFont="1" applyFill="1" applyBorder="1" applyAlignment="1">
      <alignment horizontal="center" vertical="center" wrapText="1"/>
    </xf>
    <xf numFmtId="171" fontId="59" fillId="11" borderId="0" xfId="1" applyNumberFormat="1" applyFont="1" applyFill="1" applyBorder="1" applyAlignment="1">
      <alignment horizontal="center" vertical="center" wrapText="1"/>
    </xf>
    <xf numFmtId="171" fontId="59" fillId="11" borderId="17" xfId="1" applyNumberFormat="1" applyFont="1" applyFill="1" applyBorder="1" applyAlignment="1">
      <alignment horizontal="center" vertical="center"/>
    </xf>
    <xf numFmtId="0" fontId="27" fillId="27" borderId="4" xfId="23" applyFont="1" applyFill="1" applyBorder="1" applyAlignment="1">
      <alignment horizontal="center" vertical="center"/>
    </xf>
    <xf numFmtId="0" fontId="27" fillId="27" borderId="5" xfId="23" applyFont="1" applyFill="1" applyBorder="1" applyAlignment="1">
      <alignment horizontal="center" vertical="center"/>
    </xf>
    <xf numFmtId="0" fontId="27" fillId="27" borderId="10" xfId="23" applyFont="1" applyFill="1" applyBorder="1" applyAlignment="1">
      <alignment horizontal="center" vertical="center"/>
    </xf>
    <xf numFmtId="0" fontId="22" fillId="29" borderId="0" xfId="23" applyFill="1" applyAlignment="1">
      <alignment horizontal="center" vertical="top" wrapText="1"/>
    </xf>
    <xf numFmtId="0" fontId="22" fillId="29" borderId="9" xfId="23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2" fillId="0" borderId="0" xfId="38" applyFont="1" applyAlignment="1">
      <alignment horizontal="center"/>
    </xf>
    <xf numFmtId="9" fontId="33" fillId="0" borderId="0" xfId="37" applyFont="1" applyAlignment="1">
      <alignment horizontal="left" vertical="center"/>
    </xf>
    <xf numFmtId="0" fontId="33" fillId="25" borderId="0" xfId="38" applyFont="1" applyFill="1" applyAlignment="1">
      <alignment horizontal="right"/>
    </xf>
    <xf numFmtId="0" fontId="32" fillId="25" borderId="0" xfId="38" applyFont="1" applyFill="1" applyAlignment="1">
      <alignment horizontal="center"/>
    </xf>
    <xf numFmtId="9" fontId="33" fillId="22" borderId="17" xfId="38" applyNumberFormat="1" applyFont="1" applyFill="1" applyBorder="1" applyAlignment="1">
      <alignment horizontal="center" vertical="center"/>
    </xf>
    <xf numFmtId="9" fontId="33" fillId="22" borderId="0" xfId="38" applyNumberFormat="1" applyFont="1" applyFill="1" applyAlignment="1">
      <alignment horizontal="center" vertical="center"/>
    </xf>
    <xf numFmtId="0" fontId="33" fillId="0" borderId="0" xfId="38" applyFont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76" fillId="24" borderId="36" xfId="0" applyFont="1" applyFill="1" applyBorder="1" applyAlignment="1">
      <alignment horizontal="left" vertical="center" wrapText="1"/>
    </xf>
    <xf numFmtId="0" fontId="76" fillId="24" borderId="0" xfId="0" applyFont="1" applyFill="1" applyAlignment="1">
      <alignment horizontal="left" vertical="center" wrapText="1"/>
    </xf>
    <xf numFmtId="0" fontId="76" fillId="24" borderId="45" xfId="0" applyFont="1" applyFill="1" applyBorder="1" applyAlignment="1">
      <alignment horizontal="left" vertical="center" wrapText="1"/>
    </xf>
    <xf numFmtId="0" fontId="76" fillId="25" borderId="36" xfId="0" applyFont="1" applyFill="1" applyBorder="1" applyAlignment="1">
      <alignment horizontal="left" vertical="center" wrapText="1"/>
    </xf>
    <xf numFmtId="0" fontId="76" fillId="25" borderId="0" xfId="0" applyFont="1" applyFill="1" applyAlignment="1">
      <alignment horizontal="left" vertical="center" wrapText="1"/>
    </xf>
    <xf numFmtId="0" fontId="76" fillId="25" borderId="45" xfId="0" applyFont="1" applyFill="1" applyBorder="1" applyAlignment="1">
      <alignment horizontal="left" vertical="center" wrapText="1"/>
    </xf>
    <xf numFmtId="0" fontId="76" fillId="24" borderId="87" xfId="0" applyFont="1" applyFill="1" applyBorder="1" applyAlignment="1">
      <alignment horizontal="left" vertical="center" wrapText="1"/>
    </xf>
    <xf numFmtId="0" fontId="76" fillId="24" borderId="1" xfId="0" applyFont="1" applyFill="1" applyBorder="1" applyAlignment="1">
      <alignment horizontal="left" vertical="center" wrapText="1"/>
    </xf>
    <xf numFmtId="0" fontId="76" fillId="24" borderId="47" xfId="0" applyFont="1" applyFill="1" applyBorder="1" applyAlignment="1">
      <alignment horizontal="left" vertical="center" wrapText="1"/>
    </xf>
    <xf numFmtId="0" fontId="58" fillId="25" borderId="85" xfId="0" applyFont="1" applyFill="1" applyBorder="1" applyAlignment="1">
      <alignment horizontal="left" vertical="center" wrapText="1"/>
    </xf>
    <xf numFmtId="0" fontId="58" fillId="25" borderId="53" xfId="0" applyFont="1" applyFill="1" applyBorder="1" applyAlignment="1">
      <alignment horizontal="left" vertical="center" wrapText="1"/>
    </xf>
    <xf numFmtId="0" fontId="58" fillId="25" borderId="86" xfId="0" applyFont="1" applyFill="1" applyBorder="1" applyAlignment="1">
      <alignment horizontal="left" vertical="center" wrapText="1"/>
    </xf>
    <xf numFmtId="0" fontId="76" fillId="25" borderId="87" xfId="0" applyFont="1" applyFill="1" applyBorder="1" applyAlignment="1">
      <alignment horizontal="left" vertical="center" wrapText="1"/>
    </xf>
    <xf numFmtId="0" fontId="76" fillId="25" borderId="1" xfId="0" applyFont="1" applyFill="1" applyBorder="1" applyAlignment="1">
      <alignment horizontal="left" vertical="center" wrapText="1"/>
    </xf>
    <xf numFmtId="0" fontId="76" fillId="25" borderId="47" xfId="0" applyFont="1" applyFill="1" applyBorder="1" applyAlignment="1">
      <alignment horizontal="left" vertical="center" wrapText="1"/>
    </xf>
    <xf numFmtId="0" fontId="76" fillId="25" borderId="87" xfId="0" applyFont="1" applyFill="1" applyBorder="1" applyAlignment="1">
      <alignment horizontal="left" vertical="top" wrapText="1"/>
    </xf>
    <xf numFmtId="0" fontId="76" fillId="25" borderId="1" xfId="0" applyFont="1" applyFill="1" applyBorder="1" applyAlignment="1">
      <alignment horizontal="left" vertical="top" wrapText="1"/>
    </xf>
    <xf numFmtId="0" fontId="76" fillId="25" borderId="47" xfId="0" applyFont="1" applyFill="1" applyBorder="1" applyAlignment="1">
      <alignment horizontal="left" vertical="top" wrapText="1"/>
    </xf>
    <xf numFmtId="0" fontId="88" fillId="25" borderId="0" xfId="0" applyFont="1" applyFill="1" applyAlignment="1">
      <alignment horizontal="left" vertical="center"/>
    </xf>
    <xf numFmtId="0" fontId="88" fillId="25" borderId="1" xfId="0" applyFont="1" applyFill="1" applyBorder="1" applyAlignment="1">
      <alignment horizontal="left" vertical="center"/>
    </xf>
    <xf numFmtId="0" fontId="76" fillId="25" borderId="85" xfId="0" applyFont="1" applyFill="1" applyBorder="1" applyAlignment="1">
      <alignment horizontal="left" vertical="top" wrapText="1"/>
    </xf>
    <xf numFmtId="0" fontId="76" fillId="25" borderId="53" xfId="0" applyFont="1" applyFill="1" applyBorder="1" applyAlignment="1">
      <alignment horizontal="left" vertical="top" wrapText="1"/>
    </xf>
    <xf numFmtId="0" fontId="76" fillId="25" borderId="86" xfId="0" applyFont="1" applyFill="1" applyBorder="1" applyAlignment="1">
      <alignment horizontal="left" vertical="top" wrapText="1"/>
    </xf>
    <xf numFmtId="0" fontId="76" fillId="24" borderId="36" xfId="0" applyFont="1" applyFill="1" applyBorder="1" applyAlignment="1">
      <alignment horizontal="left" vertical="top" wrapText="1"/>
    </xf>
    <xf numFmtId="0" fontId="76" fillId="24" borderId="0" xfId="0" applyFont="1" applyFill="1" applyAlignment="1">
      <alignment horizontal="left" vertical="top" wrapText="1"/>
    </xf>
    <xf numFmtId="0" fontId="76" fillId="24" borderId="45" xfId="0" applyFont="1" applyFill="1" applyBorder="1" applyAlignment="1">
      <alignment horizontal="left" vertical="top" wrapText="1"/>
    </xf>
    <xf numFmtId="0" fontId="76" fillId="25" borderId="36" xfId="0" applyFont="1" applyFill="1" applyBorder="1" applyAlignment="1">
      <alignment horizontal="left" vertical="top" wrapText="1"/>
    </xf>
    <xf numFmtId="0" fontId="76" fillId="25" borderId="0" xfId="0" applyFont="1" applyFill="1" applyAlignment="1">
      <alignment horizontal="left" vertical="top" wrapText="1"/>
    </xf>
    <xf numFmtId="0" fontId="76" fillId="25" borderId="45" xfId="0" applyFont="1" applyFill="1" applyBorder="1" applyAlignment="1">
      <alignment horizontal="left" vertical="top" wrapText="1"/>
    </xf>
    <xf numFmtId="6" fontId="91" fillId="24" borderId="12" xfId="0" applyNumberFormat="1" applyFont="1" applyFill="1" applyBorder="1" applyAlignment="1">
      <alignment horizontal="center" vertical="center"/>
    </xf>
    <xf numFmtId="6" fontId="91" fillId="24" borderId="13" xfId="0" applyNumberFormat="1" applyFont="1" applyFill="1" applyBorder="1" applyAlignment="1">
      <alignment horizontal="center" vertical="center"/>
    </xf>
    <xf numFmtId="6" fontId="91" fillId="24" borderId="14" xfId="0" applyNumberFormat="1" applyFont="1" applyFill="1" applyBorder="1" applyAlignment="1">
      <alignment horizontal="center" vertical="center"/>
    </xf>
    <xf numFmtId="0" fontId="22" fillId="25" borderId="0" xfId="0" applyFont="1" applyFill="1" applyAlignment="1">
      <alignment horizontal="left" vertical="top" wrapText="1"/>
    </xf>
    <xf numFmtId="0" fontId="2" fillId="25" borderId="0" xfId="0" applyFont="1" applyFill="1" applyAlignment="1">
      <alignment horizontal="left" vertical="top" wrapText="1"/>
    </xf>
    <xf numFmtId="0" fontId="58" fillId="25" borderId="16" xfId="0" applyFont="1" applyFill="1" applyBorder="1" applyAlignment="1">
      <alignment horizontal="left" vertical="center"/>
    </xf>
    <xf numFmtId="0" fontId="58" fillId="25" borderId="17" xfId="0" applyFont="1" applyFill="1" applyBorder="1" applyAlignment="1">
      <alignment horizontal="left" vertical="center"/>
    </xf>
    <xf numFmtId="0" fontId="58" fillId="25" borderId="18" xfId="0" applyFont="1" applyFill="1" applyBorder="1" applyAlignment="1">
      <alignment horizontal="left" vertical="center"/>
    </xf>
    <xf numFmtId="6" fontId="88" fillId="24" borderId="6" xfId="0" applyNumberFormat="1" applyFont="1" applyFill="1" applyBorder="1" applyAlignment="1">
      <alignment horizontal="center" vertical="center"/>
    </xf>
    <xf numFmtId="6" fontId="88" fillId="24" borderId="0" xfId="0" applyNumberFormat="1" applyFont="1" applyFill="1" applyAlignment="1">
      <alignment horizontal="center" vertical="center"/>
    </xf>
    <xf numFmtId="6" fontId="88" fillId="24" borderId="9" xfId="0" applyNumberFormat="1" applyFont="1" applyFill="1" applyBorder="1" applyAlignment="1">
      <alignment horizontal="center" vertical="center"/>
    </xf>
    <xf numFmtId="6" fontId="22" fillId="24" borderId="6" xfId="0" applyNumberFormat="1" applyFont="1" applyFill="1" applyBorder="1" applyAlignment="1">
      <alignment horizontal="center" vertical="center"/>
    </xf>
    <xf numFmtId="6" fontId="22" fillId="24" borderId="0" xfId="0" applyNumberFormat="1" applyFont="1" applyFill="1" applyAlignment="1">
      <alignment horizontal="center" vertical="center"/>
    </xf>
    <xf numFmtId="6" fontId="22" fillId="24" borderId="9" xfId="0" applyNumberFormat="1" applyFont="1" applyFill="1" applyBorder="1" applyAlignment="1">
      <alignment horizontal="center" vertical="center"/>
    </xf>
    <xf numFmtId="10" fontId="58" fillId="25" borderId="6" xfId="0" applyNumberFormat="1" applyFont="1" applyFill="1" applyBorder="1" applyAlignment="1">
      <alignment horizontal="center" vertical="center"/>
    </xf>
    <xf numFmtId="10" fontId="58" fillId="25" borderId="0" xfId="0" applyNumberFormat="1" applyFont="1" applyFill="1" applyAlignment="1">
      <alignment horizontal="center" vertical="center"/>
    </xf>
    <xf numFmtId="0" fontId="33" fillId="25" borderId="4" xfId="0" applyFont="1" applyFill="1" applyBorder="1" applyAlignment="1">
      <alignment horizontal="left" vertical="center"/>
    </xf>
    <xf numFmtId="0" fontId="33" fillId="25" borderId="5" xfId="0" applyFont="1" applyFill="1" applyBorder="1" applyAlignment="1">
      <alignment horizontal="left" vertical="center"/>
    </xf>
    <xf numFmtId="0" fontId="33" fillId="25" borderId="10" xfId="0" applyFont="1" applyFill="1" applyBorder="1" applyAlignment="1">
      <alignment horizontal="left" vertical="center"/>
    </xf>
    <xf numFmtId="0" fontId="83" fillId="12" borderId="0" xfId="0" applyFont="1" applyFill="1" applyAlignment="1">
      <alignment horizontal="center" vertical="center" wrapText="1"/>
    </xf>
    <xf numFmtId="0" fontId="83" fillId="12" borderId="13" xfId="0" applyFont="1" applyFill="1" applyBorder="1" applyAlignment="1">
      <alignment horizontal="center" vertical="center" wrapText="1"/>
    </xf>
    <xf numFmtId="0" fontId="33" fillId="25" borderId="4" xfId="0" applyFont="1" applyFill="1" applyBorder="1" applyAlignment="1">
      <alignment horizontal="center" vertical="center"/>
    </xf>
    <xf numFmtId="0" fontId="33" fillId="25" borderId="5" xfId="0" applyFont="1" applyFill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6" fontId="88" fillId="24" borderId="12" xfId="0" applyNumberFormat="1" applyFont="1" applyFill="1" applyBorder="1" applyAlignment="1">
      <alignment horizontal="center" vertical="center"/>
    </xf>
    <xf numFmtId="6" fontId="88" fillId="24" borderId="13" xfId="0" applyNumberFormat="1" applyFont="1" applyFill="1" applyBorder="1" applyAlignment="1">
      <alignment horizontal="center" vertical="center"/>
    </xf>
    <xf numFmtId="6" fontId="88" fillId="24" borderId="14" xfId="0" applyNumberFormat="1" applyFont="1" applyFill="1" applyBorder="1" applyAlignment="1">
      <alignment horizontal="center" vertical="center"/>
    </xf>
    <xf numFmtId="0" fontId="90" fillId="12" borderId="0" xfId="0" applyFont="1" applyFill="1" applyAlignment="1">
      <alignment horizontal="center" vertical="center"/>
    </xf>
    <xf numFmtId="0" fontId="76" fillId="25" borderId="0" xfId="0" applyFont="1" applyFill="1" applyAlignment="1">
      <alignment horizontal="left" vertical="center"/>
    </xf>
    <xf numFmtId="0" fontId="89" fillId="0" borderId="4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89" fillId="0" borderId="10" xfId="0" applyFont="1" applyBorder="1" applyAlignment="1">
      <alignment horizontal="center" vertical="center"/>
    </xf>
    <xf numFmtId="0" fontId="59" fillId="25" borderId="0" xfId="0" applyFont="1" applyFill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185" fontId="33" fillId="25" borderId="0" xfId="1" applyNumberFormat="1" applyFont="1" applyFill="1" applyBorder="1" applyAlignment="1">
      <alignment horizontal="center" vertical="center"/>
    </xf>
    <xf numFmtId="180" fontId="58" fillId="25" borderId="0" xfId="37" applyNumberFormat="1" applyFont="1" applyFill="1" applyBorder="1" applyAlignment="1">
      <alignment horizontal="center" vertical="center"/>
    </xf>
    <xf numFmtId="0" fontId="58" fillId="25" borderId="0" xfId="0" applyFont="1" applyFill="1" applyAlignment="1">
      <alignment horizontal="left" vertical="center"/>
    </xf>
    <xf numFmtId="0" fontId="84" fillId="9" borderId="0" xfId="31" applyFont="1" applyFill="1" applyAlignment="1" applyProtection="1">
      <alignment horizontal="center"/>
      <protection hidden="1"/>
    </xf>
    <xf numFmtId="0" fontId="58" fillId="25" borderId="53" xfId="31" applyFont="1" applyFill="1" applyBorder="1" applyAlignment="1" applyProtection="1">
      <alignment horizontal="center" vertical="center"/>
      <protection hidden="1"/>
    </xf>
    <xf numFmtId="0" fontId="58" fillId="25" borderId="0" xfId="31" applyFont="1" applyFill="1" applyAlignment="1" applyProtection="1">
      <alignment horizontal="center" vertical="center"/>
      <protection hidden="1"/>
    </xf>
    <xf numFmtId="0" fontId="58" fillId="25" borderId="1" xfId="31" applyFont="1" applyFill="1" applyBorder="1" applyAlignment="1" applyProtection="1">
      <alignment horizontal="center" vertical="center"/>
      <protection hidden="1"/>
    </xf>
    <xf numFmtId="0" fontId="59" fillId="25" borderId="0" xfId="29" applyFont="1" applyFill="1" applyAlignment="1" applyProtection="1">
      <alignment horizontal="left" vertical="top" wrapText="1"/>
      <protection hidden="1"/>
    </xf>
    <xf numFmtId="0" fontId="77" fillId="25" borderId="0" xfId="29" applyFont="1" applyFill="1" applyAlignment="1" applyProtection="1">
      <alignment horizontal="center"/>
      <protection hidden="1"/>
    </xf>
    <xf numFmtId="0" fontId="76" fillId="25" borderId="0" xfId="29" applyFill="1" applyAlignment="1" applyProtection="1">
      <alignment horizontal="left" vertical="top" wrapText="1"/>
      <protection hidden="1"/>
    </xf>
    <xf numFmtId="0" fontId="58" fillId="0" borderId="4" xfId="25" applyFont="1" applyBorder="1" applyAlignment="1" applyProtection="1">
      <alignment horizontal="center" vertical="center"/>
      <protection hidden="1"/>
    </xf>
    <xf numFmtId="0" fontId="58" fillId="0" borderId="10" xfId="25" applyFont="1" applyBorder="1" applyAlignment="1" applyProtection="1">
      <alignment horizontal="center" vertical="center"/>
      <protection hidden="1"/>
    </xf>
    <xf numFmtId="0" fontId="28" fillId="25" borderId="13" xfId="25" applyFont="1" applyFill="1" applyBorder="1" applyAlignment="1" applyProtection="1">
      <alignment horizontal="center"/>
      <protection hidden="1"/>
    </xf>
    <xf numFmtId="0" fontId="28" fillId="0" borderId="4" xfId="25" applyFont="1" applyBorder="1" applyAlignment="1" applyProtection="1">
      <alignment horizontal="center"/>
      <protection hidden="1"/>
    </xf>
    <xf numFmtId="0" fontId="28" fillId="0" borderId="10" xfId="25" applyFont="1" applyBorder="1" applyAlignment="1" applyProtection="1">
      <alignment horizontal="center"/>
      <protection hidden="1"/>
    </xf>
    <xf numFmtId="0" fontId="28" fillId="0" borderId="5" xfId="25" applyFont="1" applyBorder="1" applyAlignment="1" applyProtection="1">
      <alignment horizontal="center"/>
      <protection hidden="1"/>
    </xf>
    <xf numFmtId="0" fontId="28" fillId="0" borderId="4" xfId="25" applyFont="1" applyBorder="1" applyAlignment="1" applyProtection="1">
      <alignment horizontal="center" vertical="center"/>
      <protection hidden="1"/>
    </xf>
    <xf numFmtId="0" fontId="28" fillId="0" borderId="5" xfId="25" applyFont="1" applyBorder="1" applyAlignment="1" applyProtection="1">
      <alignment horizontal="center" vertical="center"/>
      <protection hidden="1"/>
    </xf>
    <xf numFmtId="0" fontId="28" fillId="0" borderId="10" xfId="25" applyFont="1" applyBorder="1" applyAlignment="1" applyProtection="1">
      <alignment horizontal="center" vertical="center"/>
      <protection hidden="1"/>
    </xf>
    <xf numFmtId="44" fontId="28" fillId="0" borderId="4" xfId="28" applyFont="1" applyFill="1" applyBorder="1" applyAlignment="1" applyProtection="1">
      <alignment horizontal="center" vertical="center"/>
      <protection hidden="1"/>
    </xf>
    <xf numFmtId="44" fontId="28" fillId="0" borderId="5" xfId="28" applyFont="1" applyFill="1" applyBorder="1" applyAlignment="1" applyProtection="1">
      <alignment horizontal="center" vertical="center"/>
      <protection hidden="1"/>
    </xf>
    <xf numFmtId="44" fontId="28" fillId="0" borderId="10" xfId="28" applyFont="1" applyFill="1" applyBorder="1" applyAlignment="1" applyProtection="1">
      <alignment horizontal="center" vertical="center"/>
      <protection hidden="1"/>
    </xf>
    <xf numFmtId="44" fontId="28" fillId="0" borderId="4" xfId="28" applyFont="1" applyBorder="1" applyAlignment="1" applyProtection="1">
      <alignment horizontal="center"/>
      <protection hidden="1"/>
    </xf>
    <xf numFmtId="44" fontId="28" fillId="0" borderId="5" xfId="28" applyFont="1" applyBorder="1" applyAlignment="1" applyProtection="1">
      <alignment horizontal="center"/>
      <protection hidden="1"/>
    </xf>
    <xf numFmtId="44" fontId="28" fillId="0" borderId="10" xfId="28" applyFont="1" applyBorder="1" applyAlignment="1" applyProtection="1">
      <alignment horizontal="center"/>
      <protection hidden="1"/>
    </xf>
    <xf numFmtId="0" fontId="7" fillId="0" borderId="0" xfId="25" applyAlignment="1" applyProtection="1">
      <alignment horizontal="center"/>
      <protection hidden="1"/>
    </xf>
    <xf numFmtId="0" fontId="74" fillId="38" borderId="0" xfId="25" applyFont="1" applyFill="1" applyAlignment="1" applyProtection="1">
      <alignment horizontal="center"/>
      <protection hidden="1"/>
    </xf>
    <xf numFmtId="0" fontId="27" fillId="38" borderId="0" xfId="25" applyFont="1" applyFill="1" applyAlignment="1" applyProtection="1">
      <alignment horizontal="center" vertical="center" wrapText="1"/>
      <protection hidden="1"/>
    </xf>
    <xf numFmtId="17" fontId="7" fillId="40" borderId="0" xfId="25" applyNumberFormat="1" applyFill="1" applyAlignment="1" applyProtection="1">
      <alignment horizontal="center"/>
      <protection locked="0"/>
    </xf>
    <xf numFmtId="0" fontId="36" fillId="24" borderId="16" xfId="12" applyFont="1" applyFill="1" applyBorder="1" applyAlignment="1">
      <alignment horizontal="center" vertical="center" wrapText="1"/>
    </xf>
    <xf numFmtId="0" fontId="36" fillId="24" borderId="18" xfId="12" applyFont="1" applyFill="1" applyBorder="1" applyAlignment="1">
      <alignment horizontal="center" vertical="center" wrapText="1"/>
    </xf>
    <xf numFmtId="0" fontId="62" fillId="25" borderId="6" xfId="12" applyFont="1" applyFill="1" applyBorder="1" applyAlignment="1">
      <alignment horizontal="left"/>
    </xf>
    <xf numFmtId="0" fontId="62" fillId="25" borderId="9" xfId="12" applyFont="1" applyFill="1" applyBorder="1" applyAlignment="1">
      <alignment horizontal="left"/>
    </xf>
    <xf numFmtId="0" fontId="28" fillId="31" borderId="0" xfId="25" applyFont="1" applyFill="1" applyAlignment="1">
      <alignment horizontal="center"/>
    </xf>
    <xf numFmtId="0" fontId="28" fillId="0" borderId="0" xfId="25" applyFont="1" applyAlignment="1">
      <alignment horizontal="center" wrapText="1"/>
    </xf>
    <xf numFmtId="0" fontId="7" fillId="33" borderId="0" xfId="25" applyFill="1" applyAlignment="1">
      <alignment horizontal="left" vertical="top" wrapText="1"/>
    </xf>
    <xf numFmtId="0" fontId="27" fillId="7" borderId="4" xfId="25" applyFont="1" applyFill="1" applyBorder="1" applyAlignment="1">
      <alignment horizontal="center" vertical="center" wrapText="1"/>
    </xf>
    <xf numFmtId="0" fontId="27" fillId="7" borderId="5" xfId="25" applyFont="1" applyFill="1" applyBorder="1" applyAlignment="1">
      <alignment horizontal="center" vertical="center" wrapText="1"/>
    </xf>
    <xf numFmtId="0" fontId="27" fillId="7" borderId="10" xfId="25" applyFont="1" applyFill="1" applyBorder="1" applyAlignment="1">
      <alignment horizontal="center" vertical="center" wrapText="1"/>
    </xf>
    <xf numFmtId="0" fontId="7" fillId="33" borderId="0" xfId="25" applyFill="1" applyAlignment="1">
      <alignment horizontal="left" vertical="top"/>
    </xf>
    <xf numFmtId="0" fontId="71" fillId="34" borderId="16" xfId="25" applyFont="1" applyFill="1" applyBorder="1" applyAlignment="1">
      <alignment horizontal="center"/>
    </xf>
    <xf numFmtId="0" fontId="71" fillId="34" borderId="17" xfId="25" applyFont="1" applyFill="1" applyBorder="1" applyAlignment="1">
      <alignment horizontal="center"/>
    </xf>
    <xf numFmtId="0" fontId="71" fillId="34" borderId="18" xfId="25" applyFont="1" applyFill="1" applyBorder="1" applyAlignment="1">
      <alignment horizontal="center"/>
    </xf>
    <xf numFmtId="0" fontId="7" fillId="35" borderId="0" xfId="25" applyFill="1" applyAlignment="1">
      <alignment horizontal="left" vertical="top" wrapText="1"/>
    </xf>
    <xf numFmtId="0" fontId="7" fillId="35" borderId="9" xfId="25" applyFill="1" applyBorder="1" applyAlignment="1">
      <alignment horizontal="left" vertical="top" wrapText="1"/>
    </xf>
    <xf numFmtId="0" fontId="7" fillId="35" borderId="13" xfId="25" applyFill="1" applyBorder="1" applyAlignment="1">
      <alignment horizontal="left" vertical="top" wrapText="1"/>
    </xf>
    <xf numFmtId="0" fontId="7" fillId="35" borderId="14" xfId="25" applyFill="1" applyBorder="1" applyAlignment="1">
      <alignment horizontal="left" vertical="top" wrapText="1"/>
    </xf>
  </cellXfs>
  <cellStyles count="42">
    <cellStyle name="Accentuation 1" xfId="3" builtinId="12" customBuiltin="1"/>
    <cellStyle name="Accentuation 2" xfId="4" builtinId="13" customBuiltin="1"/>
    <cellStyle name="Milliers" xfId="11" builtinId="3"/>
    <cellStyle name="Milliers 2" xfId="10" xr:uid="{C62ACECE-CE7E-4D6E-B8E9-6258BD0E7795}"/>
    <cellStyle name="Milliers 3" xfId="21" xr:uid="{FCC84FFE-F6B7-4729-A681-8635673F0A5F}"/>
    <cellStyle name="Milliers 4" xfId="24" xr:uid="{1400E9D0-EB90-4948-B37E-2ED4C2DB5F97}"/>
    <cellStyle name="Monétaire" xfId="1" builtinId="4"/>
    <cellStyle name="Monétaire 2" xfId="7" xr:uid="{35F17C1F-2598-4438-85F4-A660007567F5}"/>
    <cellStyle name="Monétaire 3" xfId="9" xr:uid="{3087D960-A82B-4433-A802-1EDFE5FC780D}"/>
    <cellStyle name="Monétaire 4" xfId="13" xr:uid="{25FBABF5-0AD3-4F7C-B209-99AA58DEF337}"/>
    <cellStyle name="Monétaire 5" xfId="17" xr:uid="{B8EB67B7-BF1C-4A71-9221-2251E35E6040}"/>
    <cellStyle name="Monétaire 6" xfId="26" xr:uid="{9BE027C8-3A78-4A7C-BD55-6C522ECD3DF0}"/>
    <cellStyle name="Monétaire 6 2" xfId="40" xr:uid="{F45716F6-04EB-4FB9-A713-1B4175D8C5FD}"/>
    <cellStyle name="Monétaire 7" xfId="28" xr:uid="{2CE91DD6-2AC9-436F-9FEB-1983F37E0D46}"/>
    <cellStyle name="Monétaire 8" xfId="30" xr:uid="{A0E09A53-0377-4E13-80C7-38D7401EE0E9}"/>
    <cellStyle name="Monétaire 9" xfId="34" xr:uid="{7A3A6016-55E9-46BC-AFB2-2766F31782A6}"/>
    <cellStyle name="Normal" xfId="0" builtinId="0" customBuiltin="1"/>
    <cellStyle name="Normal 10" xfId="31" xr:uid="{5B76B172-E24E-49F9-B3EC-F2E1D7F9313D}"/>
    <cellStyle name="Normal 11" xfId="33" xr:uid="{324E9289-6122-48FD-9B65-9A9F1A98EFA2}"/>
    <cellStyle name="Normal 2" xfId="5" xr:uid="{00000000-0005-0000-0000-000004000000}"/>
    <cellStyle name="Normal 2 2" xfId="22" xr:uid="{1EE5A1EA-CEE3-4621-996B-C5C78E39A60E}"/>
    <cellStyle name="Normal 3" xfId="6" xr:uid="{DDA60435-C087-4BEA-BD4D-CE08B8474772}"/>
    <cellStyle name="Normal 4" xfId="8" xr:uid="{3FEA90E2-88E4-4D4B-8B34-C93A36337A7B}"/>
    <cellStyle name="Normal 5" xfId="12" xr:uid="{150DA12E-0951-467A-882F-A22C7A216175}"/>
    <cellStyle name="Normal 5 2" xfId="36" xr:uid="{337E8086-4623-4E1A-9A31-F176AAFC8C54}"/>
    <cellStyle name="Normal 5 2 2" xfId="38" xr:uid="{C1D1DC34-AC3A-4389-B632-368645820C46}"/>
    <cellStyle name="Normal 6" xfId="16" xr:uid="{905FBF78-5E91-4BF8-B168-4C4EE1931840}"/>
    <cellStyle name="Normal 7" xfId="23" xr:uid="{8923B68C-A82C-4A77-A438-CCB75A8662E6}"/>
    <cellStyle name="Normal 7 2" xfId="39" xr:uid="{71EF90D1-A08B-41AA-81FD-0787B311342A}"/>
    <cellStyle name="Normal 8" xfId="25" xr:uid="{B9596185-31A5-45BF-9F68-F1F016F48F9C}"/>
    <cellStyle name="Normal 9" xfId="29" xr:uid="{51BCB086-6479-4B62-84D7-C5B9B768736D}"/>
    <cellStyle name="Normal_DCHN68QHTA" xfId="18" xr:uid="{687617A4-A4CB-432E-9925-19ADAC1B9022}"/>
    <cellStyle name="Percent 2" xfId="19" xr:uid="{DD60B237-A1E5-4E61-A786-A0045A5BAF3B}"/>
    <cellStyle name="Pourcentage" xfId="15" builtinId="5"/>
    <cellStyle name="Pourcentage 2" xfId="14" xr:uid="{EDF3A2C2-BE99-4FD3-8C9B-5E8849446471}"/>
    <cellStyle name="Pourcentage 3" xfId="20" xr:uid="{2DAACAAA-E430-4F82-B41B-1639072341E7}"/>
    <cellStyle name="Pourcentage 4" xfId="27" xr:uid="{A1C97AAF-5E85-4665-AA26-75493E676CB7}"/>
    <cellStyle name="Pourcentage 4 2" xfId="37" xr:uid="{9B38C2C7-5737-4C80-B373-7B5E5DF8A8C0}"/>
    <cellStyle name="Pourcentage 4 2 2" xfId="41" xr:uid="{A687039C-F59A-412F-ABE1-EBEF42189EE3}"/>
    <cellStyle name="Pourcentage 5" xfId="32" xr:uid="{7EB9DC8C-D45F-49D9-9DF4-D09CC511A1BE}"/>
    <cellStyle name="Pourcentage 6" xfId="35" xr:uid="{EF8D840F-5726-4E86-9592-4B1FB31E791D}"/>
    <cellStyle name="Titre 2" xfId="2" builtinId="17"/>
  </cellStyles>
  <dxfs count="64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numFmt numFmtId="34" formatCode="_ * #,##0.00_)\ &quot;$&quot;_ ;_ * \(#,##0.00\)\ &quot;$&quot;_ ;_ * &quot;-&quot;??_)\ &quot;$&quot;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 * #,##0.00_)\ &quot;$&quot;_ ;_ * \(#,##0.00\)\ &quot;$&quot;_ ;_ * &quot;-&quot;??_)\ &quot;$&quot;_ ;_ @_ "/>
      <protection locked="1" hidden="1"/>
    </dxf>
    <dxf>
      <numFmt numFmtId="12" formatCode="#,##0.00\ &quot;$&quot;_);[Red]\(#,##0.00\ &quot;$&quot;\)"/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1"/>
    </dxf>
    <dxf>
      <numFmt numFmtId="34" formatCode="_ * #,##0.00_)\ &quot;$&quot;_ ;_ * \(#,##0.00\)\ &quot;$&quot;_ ;_ * &quot;-&quot;??_)\ &quot;$&quot;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 * #,##0.00_)\ &quot;$&quot;_ ;_ * \(#,##0.00\)\ &quot;$&quot;_ ;_ * &quot;-&quot;??_)\ &quot;$&quot;_ ;_ @_ "/>
      <protection locked="1" hidden="1"/>
    </dxf>
    <dxf>
      <numFmt numFmtId="12" formatCode="#,##0.00\ &quot;$&quot;_);[Red]\(#,##0.00\ &quot;$&quot;\)"/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rgb="FFFFFFFF"/>
          <bgColor rgb="FF95B3D7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rgb="FFFFFFFF"/>
          <bgColor rgb="FF95B3D7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rgb="FFFFFFFF"/>
          <bgColor rgb="FF95B3D7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79" formatCode="_ * #,##0_)\ [$$-C0C]_ ;_ * \(#,##0\)\ [$$-C0C]_ ;_ * &quot;-&quot;??_)\ [$$-C0C]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lightUp">
          <fgColor rgb="FFFFFFFF"/>
          <bgColor rgb="FFDA9694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 style="thin">
          <color theme="0"/>
        </left>
        <right/>
        <top style="thick">
          <color theme="0"/>
        </top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79" formatCode="_ * #,##0_)\ [$$-C0C]_ ;_ * \(#,##0\)\ [$$-C0C]_ ;_ * &quot;-&quot;??_)\ [$$-C0C]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lightUp">
          <fgColor rgb="FFFFFFFF"/>
          <bgColor rgb="FFDA9694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rgb="FFFFFFFF"/>
          <bgColor rgb="FF95B3D7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ck">
          <color theme="0"/>
        </bottom>
      </border>
    </dxf>
    <dxf>
      <fill>
        <patternFill patternType="lightUp">
          <fgColor rgb="FFFFFFFF"/>
          <bgColor rgb="FF95B3D7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rgb="FFFFFFFF"/>
          <bgColor rgb="FF95B3D7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rgb="FFFFFFFF"/>
          <bgColor rgb="FF95B3D7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rgb="FFFFFFFF"/>
          <bgColor rgb="FF95B3D7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79" formatCode="_ * #,##0_)\ [$$-C0C]_ ;_ * \(#,##0\)\ [$$-C0C]_ ;_ * &quot;-&quot;??_)\ [$$-C0C]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lightUp">
          <fgColor rgb="FFFFFFFF"/>
          <bgColor rgb="FFDA9694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 style="thin">
          <color theme="0"/>
        </left>
        <right/>
        <top style="thick">
          <color theme="0"/>
        </top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79" formatCode="_ * #,##0_)\ [$$-C0C]_ ;_ * \(#,##0\)\ [$$-C0C]_ ;_ * &quot;-&quot;??_)\ [$$-C0C]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lightUp">
          <fgColor rgb="FFFFFFFF"/>
          <bgColor rgb="FFDA9694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rgb="FFFFFFFF"/>
          <bgColor rgb="FF95B3D7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ck">
          <color theme="0"/>
        </bottom>
      </border>
    </dxf>
    <dxf>
      <fill>
        <patternFill patternType="lightUp">
          <fgColor rgb="FFFFFFFF"/>
          <bgColor rgb="FF95B3D7"/>
        </patternFill>
      </fill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  <protection locked="0" hidden="0"/>
    </dxf>
    <dxf>
      <protection locked="0" hidden="0"/>
    </dxf>
    <dxf>
      <fill>
        <patternFill patternType="lightUp">
          <fgColor theme="0"/>
          <bgColor theme="4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  <protection locked="0" hidden="0"/>
    </dxf>
    <dxf>
      <protection locked="0" hidden="0"/>
    </dxf>
    <dxf>
      <fill>
        <patternFill patternType="lightUp">
          <fgColor theme="0"/>
          <bgColor theme="4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  <protection locked="0" hidden="0"/>
    </dxf>
    <dxf>
      <protection locked="0" hidden="0"/>
    </dxf>
    <dxf>
      <fill>
        <patternFill patternType="lightUp">
          <fgColor theme="0"/>
          <bgColor theme="4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numFmt numFmtId="179" formatCode="_ * #,##0_)\ [$$-C0C]_ ;_ * \(#,##0\)\ [$$-C0C]_ ;_ * &quot;-&quot;??_)\ [$$-C0C]_ ;_ @_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 style="thin">
          <color theme="0"/>
        </left>
        <right/>
        <top style="thick">
          <color theme="0"/>
        </top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  <protection locked="0" hidden="0"/>
    </dxf>
    <dxf>
      <protection locked="0" hidden="0"/>
    </dxf>
    <dxf>
      <fill>
        <patternFill patternType="lightUp">
          <fgColor theme="0"/>
          <bgColor theme="4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ck">
          <color theme="0"/>
        </bottom>
      </border>
    </dxf>
    <dxf>
      <numFmt numFmtId="186" formatCode="mmm\/\y\y"/>
      <fill>
        <patternFill patternType="lightUp">
          <fgColor theme="0"/>
          <bgColor theme="4" tint="0.39997558519241921"/>
        </patternFill>
      </fill>
      <protection locked="0" hidden="0"/>
    </dxf>
    <dxf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numFmt numFmtId="178" formatCode="_ * #,##0.00_)\ [$$-C0C]_ ;_ * \(#,##0.00\)\ [$$-C0C]_ ;_ * &quot;-&quot;??_)\ [$$-C0C]_ ;_ @_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9" formatCode="_ * #,##0_)\ [$$-C0C]_ ;_ * \(#,##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rgb="FFFFFFFF"/>
          <bgColor rgb="FF95B3D7"/>
        </patternFill>
      </fill>
      <protection locked="0" hidden="0"/>
    </dxf>
    <dxf>
      <protection locked="0" hidden="0"/>
    </dxf>
    <dxf>
      <fill>
        <patternFill patternType="lightUp">
          <fgColor theme="0"/>
          <bgColor theme="4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name val="Calibri"/>
        <family val="2"/>
        <scheme val="minor"/>
      </font>
      <numFmt numFmtId="178" formatCode="_ * #,##0.00_)\ [$$-C0C]_ ;_ * \(#,##0.00\)\ [$$-C0C]_ ;_ * &quot;-&quot;??_)\ [$$-C0C]_ ;_ @_ "/>
      <fill>
        <patternFill patternType="lightUp">
          <fgColor theme="0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2" formatCode="mmm/yy"/>
      <fill>
        <patternFill patternType="lightUp">
          <fgColor theme="0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lightUp">
          <fgColor rgb="FFFFFFFF"/>
          <bgColor rgb="FF95B3D7"/>
        </patternFill>
      </fill>
      <protection locked="0" hidden="0"/>
    </dxf>
    <dxf>
      <protection locked="0" hidden="0"/>
    </dxf>
    <dxf>
      <fill>
        <patternFill patternType="lightUp">
          <fgColor theme="0"/>
          <bgColor theme="4" tint="0.39997558519241921"/>
        </patternFill>
      </fill>
      <protection locked="0" hidden="0"/>
    </dxf>
  </dxfs>
  <tableStyles count="0" defaultTableStyle="TableStyleMedium9"/>
  <colors>
    <mruColors>
      <color rgb="FFFFFFCC"/>
      <color rgb="FF00FFFF"/>
      <color rgb="FF00FF00"/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800" b="1"/>
              <a:t>Actif vs Passif &amp; Valeur Nette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'Bilan Perso'!$B$36</c:f>
              <c:strCache>
                <c:ptCount val="1"/>
                <c:pt idx="0">
                  <c:v>Total actifs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774318021043306E-17"/>
                  <c:y val="-2.6376571349633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B-4986-8F90-F534E4033453}"/>
                </c:ext>
              </c:extLst>
            </c:dLbl>
            <c:dLbl>
              <c:idx val="1"/>
              <c:layout>
                <c:manualLayout>
                  <c:x val="0"/>
                  <c:y val="-2.24524566008197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B-4986-8F90-F534E4033453}"/>
                </c:ext>
              </c:extLst>
            </c:dLbl>
            <c:dLbl>
              <c:idx val="2"/>
              <c:layout>
                <c:manualLayout>
                  <c:x val="0"/>
                  <c:y val="-2.47273257509477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1B-4986-8F90-F534E4033453}"/>
                </c:ext>
              </c:extLst>
            </c:dLbl>
            <c:dLbl>
              <c:idx val="3"/>
              <c:layout>
                <c:manualLayout>
                  <c:x val="-7.5097272084173224E-17"/>
                  <c:y val="-2.9944436769965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B-4986-8F90-F534E4033453}"/>
                </c:ext>
              </c:extLst>
            </c:dLbl>
            <c:dLbl>
              <c:idx val="4"/>
              <c:layout>
                <c:manualLayout>
                  <c:x val="-1.4336917562724014E-2"/>
                  <c:y val="-4.4537305643812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1B-4986-8F90-F534E4033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Perso'!$C$5:$H$5</c:f>
              <c:numCache>
                <c:formatCode>mmm\-yy</c:formatCode>
                <c:ptCount val="6"/>
                <c:pt idx="0">
                  <c:v>44959</c:v>
                </c:pt>
                <c:pt idx="1">
                  <c:v>45444</c:v>
                </c:pt>
                <c:pt idx="2">
                  <c:v>45323</c:v>
                </c:pt>
                <c:pt idx="3">
                  <c:v>45689</c:v>
                </c:pt>
                <c:pt idx="4">
                  <c:v>46054</c:v>
                </c:pt>
                <c:pt idx="5">
                  <c:v>46419</c:v>
                </c:pt>
              </c:numCache>
            </c:numRef>
          </c:cat>
          <c:val>
            <c:numRef>
              <c:f>'Bilan Perso'!$C$36:$H$36</c:f>
              <c:numCache>
                <c:formatCode>_ * #\ ##0_)\ [$$-C0C]_ ;_ * \(#\ ##0\)\ [$$-C0C]_ ;_ * "-"??_)\ [$$-C0C]_ ;_ @_ </c:formatCode>
                <c:ptCount val="6"/>
                <c:pt idx="0">
                  <c:v>30000</c:v>
                </c:pt>
                <c:pt idx="1">
                  <c:v>60000</c:v>
                </c:pt>
                <c:pt idx="2">
                  <c:v>120000</c:v>
                </c:pt>
                <c:pt idx="3">
                  <c:v>500000</c:v>
                </c:pt>
                <c:pt idx="4">
                  <c:v>700000</c:v>
                </c:pt>
                <c:pt idx="5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3-40A6-B33E-3A021087822B}"/>
            </c:ext>
          </c:extLst>
        </c:ser>
        <c:ser>
          <c:idx val="1"/>
          <c:order val="2"/>
          <c:tx>
            <c:strRef>
              <c:f>'Bilan Perso'!$B$53</c:f>
              <c:strCache>
                <c:ptCount val="1"/>
                <c:pt idx="0">
                  <c:v>Total passifs</c:v>
                </c:pt>
              </c:strCache>
            </c:strRef>
          </c:tx>
          <c:spPr>
            <a:solidFill>
              <a:srgbClr val="D48886"/>
            </a:solidFill>
            <a:ln>
              <a:noFill/>
            </a:ln>
            <a:effectLst/>
          </c:spPr>
          <c:invertIfNegative val="0"/>
          <c:cat>
            <c:numRef>
              <c:f>'Bilan Perso'!$C$5:$H$5</c:f>
              <c:numCache>
                <c:formatCode>mmm\-yy</c:formatCode>
                <c:ptCount val="6"/>
                <c:pt idx="0">
                  <c:v>44959</c:v>
                </c:pt>
                <c:pt idx="1">
                  <c:v>45444</c:v>
                </c:pt>
                <c:pt idx="2">
                  <c:v>45323</c:v>
                </c:pt>
                <c:pt idx="3">
                  <c:v>45689</c:v>
                </c:pt>
                <c:pt idx="4">
                  <c:v>46054</c:v>
                </c:pt>
                <c:pt idx="5">
                  <c:v>46419</c:v>
                </c:pt>
              </c:numCache>
            </c:numRef>
          </c:cat>
          <c:val>
            <c:numRef>
              <c:f>'Bilan Perso'!$C$54:$H$54</c:f>
              <c:numCache>
                <c:formatCode>_ * #\ ##0_)\ [$$-C0C]_ ;_ * \(#\ ##0\)\ [$$-C0C]_ ;_ * "-"??_)\ [$$-C0C]_ ;_ @_ </c:formatCode>
                <c:ptCount val="6"/>
                <c:pt idx="0">
                  <c:v>-60000</c:v>
                </c:pt>
                <c:pt idx="1">
                  <c:v>-35000</c:v>
                </c:pt>
                <c:pt idx="2">
                  <c:v>-35000</c:v>
                </c:pt>
                <c:pt idx="3">
                  <c:v>-280000</c:v>
                </c:pt>
                <c:pt idx="4">
                  <c:v>-250000</c:v>
                </c:pt>
                <c:pt idx="5">
                  <c:v>-225000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53-40A6-B33E-3A021087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835174543"/>
        <c:axId val="835172463"/>
      </c:barChart>
      <c:lineChart>
        <c:grouping val="standard"/>
        <c:varyColors val="0"/>
        <c:ser>
          <c:idx val="0"/>
          <c:order val="1"/>
          <c:tx>
            <c:strRef>
              <c:f>'Bilan Perso'!$B$56</c:f>
              <c:strCache>
                <c:ptCount val="1"/>
                <c:pt idx="0">
                  <c:v>Valeur nette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635452826461207E-2"/>
                  <c:y val="2.2431735506745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B-4986-8F90-F534E4033453}"/>
                </c:ext>
              </c:extLst>
            </c:dLbl>
            <c:dLbl>
              <c:idx val="1"/>
              <c:layout>
                <c:manualLayout>
                  <c:x val="-2.8635452826461207E-2"/>
                  <c:y val="2.8279688723120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B-4986-8F90-F534E4033453}"/>
                </c:ext>
              </c:extLst>
            </c:dLbl>
            <c:dLbl>
              <c:idx val="2"/>
              <c:layout>
                <c:manualLayout>
                  <c:x val="-2.7324648935012154E-2"/>
                  <c:y val="3.412764193949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B-4986-8F90-F534E4033453}"/>
                </c:ext>
              </c:extLst>
            </c:dLbl>
            <c:dLbl>
              <c:idx val="3"/>
              <c:layout>
                <c:manualLayout>
                  <c:x val="-2.0450588837685611E-2"/>
                  <c:y val="2.6330370984328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1B-4986-8F90-F534E4033453}"/>
                </c:ext>
              </c:extLst>
            </c:dLbl>
            <c:dLbl>
              <c:idx val="4"/>
              <c:layout>
                <c:manualLayout>
                  <c:x val="-2.1761392729134663E-2"/>
                  <c:y val="3.9975595155868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B-4986-8F90-F534E4033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'Bilan Perso'!$C$56:$H$56</c:f>
              <c:numCache>
                <c:formatCode>_ * #\ ##0_)\ [$$-C0C]_ ;_ * \(#\ ##0\)\ [$$-C0C]_ ;_ * "-"??_)\ [$$-C0C]_ ;_ @_ </c:formatCode>
                <c:ptCount val="6"/>
                <c:pt idx="0">
                  <c:v>-30000</c:v>
                </c:pt>
                <c:pt idx="1">
                  <c:v>25000</c:v>
                </c:pt>
                <c:pt idx="2">
                  <c:v>85000</c:v>
                </c:pt>
                <c:pt idx="3">
                  <c:v>220000</c:v>
                </c:pt>
                <c:pt idx="4">
                  <c:v>450000</c:v>
                </c:pt>
                <c:pt idx="5">
                  <c:v>775000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153-40A6-B33E-3A021087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174543"/>
        <c:axId val="835172463"/>
      </c:lineChart>
      <c:dateAx>
        <c:axId val="835174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400" b="1"/>
                  <a:t>Année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5172463"/>
        <c:crosses val="autoZero"/>
        <c:auto val="1"/>
        <c:lblOffset val="100"/>
        <c:baseTimeUnit val="years"/>
        <c:majorTimeUnit val="years"/>
        <c:minorTimeUnit val="months"/>
      </c:dateAx>
      <c:valAx>
        <c:axId val="83517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400" b="1"/>
                  <a:t>Valeur patrimoine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* #\ ##0_)\ [$$-C0C]_ ;_ * \(#\ ##0\)\ [$$-C0C]_ ;_ * &quot;-&quot;??_)\ [$$-C0C]_ ;_ @_ 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5174543"/>
        <c:crosses val="autoZero"/>
        <c:crossBetween val="between"/>
      </c:valAx>
      <c:dTable>
        <c:showHorzBorder val="0"/>
        <c:showVertBorder val="0"/>
        <c:showOutline val="0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Actif et Passif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'Bilan Perso'!$B$9</c:f>
              <c:strCache>
                <c:ptCount val="1"/>
                <c:pt idx="0">
                  <c:v>Total liquidité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Perso'!$C$5:$H$5</c:f>
              <c:numCache>
                <c:formatCode>mmm\-yy</c:formatCode>
                <c:ptCount val="6"/>
                <c:pt idx="0">
                  <c:v>44959</c:v>
                </c:pt>
                <c:pt idx="1">
                  <c:v>45444</c:v>
                </c:pt>
                <c:pt idx="2">
                  <c:v>45323</c:v>
                </c:pt>
                <c:pt idx="3">
                  <c:v>45689</c:v>
                </c:pt>
                <c:pt idx="4">
                  <c:v>46054</c:v>
                </c:pt>
                <c:pt idx="5">
                  <c:v>46419</c:v>
                </c:pt>
              </c:numCache>
            </c:numRef>
          </c:cat>
          <c:val>
            <c:numRef>
              <c:f>'Bilan Perso'!$C$9:$H$9</c:f>
              <c:numCache>
                <c:formatCode>_ * #\ ##0_)\ [$$-C0C]_ ;_ * \(#\ ##0\)\ [$$-C0C]_ ;_ * "-"??_)\ [$$-C0C]_ ;_ @_ </c:formatCode>
                <c:ptCount val="6"/>
                <c:pt idx="0">
                  <c:v>30000</c:v>
                </c:pt>
                <c:pt idx="1">
                  <c:v>60000</c:v>
                </c:pt>
                <c:pt idx="2">
                  <c:v>120000</c:v>
                </c:pt>
                <c:pt idx="3">
                  <c:v>500000</c:v>
                </c:pt>
                <c:pt idx="4">
                  <c:v>700000</c:v>
                </c:pt>
                <c:pt idx="5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A-411C-8C7E-D3FE977864C8}"/>
            </c:ext>
          </c:extLst>
        </c:ser>
        <c:ser>
          <c:idx val="1"/>
          <c:order val="1"/>
          <c:tx>
            <c:strRef>
              <c:f>'Bilan Perso'!$B$16</c:f>
              <c:strCache>
                <c:ptCount val="1"/>
                <c:pt idx="0">
                  <c:v>Total épargnes et placements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'Bilan Perso'!$C$16:$H$16</c:f>
              <c:numCache>
                <c:formatCode>_ * #\ ##0_)\ [$$-C0C]_ ;_ * \(#\ ##0\)\ [$$-C0C]_ ;_ * "-"??_)\ [$$-C0C]_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A-411C-8C7E-D3FE977864C8}"/>
            </c:ext>
          </c:extLst>
        </c:ser>
        <c:ser>
          <c:idx val="2"/>
          <c:order val="2"/>
          <c:tx>
            <c:strRef>
              <c:f>'Bilan Perso'!$B$22</c:f>
              <c:strCache>
                <c:ptCount val="1"/>
                <c:pt idx="0">
                  <c:v>Total immobilisations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'Bilan Perso'!$C$22:$H$22</c:f>
              <c:numCache>
                <c:formatCode>_ * #\ ##0_)\ [$$-C0C]_ ;_ * \(#\ ##0\)\ [$$-C0C]_ ;_ * "-"??_)\ [$$-C0C]_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6A-411C-8C7E-D3FE977864C8}"/>
            </c:ext>
          </c:extLst>
        </c:ser>
        <c:ser>
          <c:idx val="3"/>
          <c:order val="3"/>
          <c:tx>
            <c:strRef>
              <c:f>'Bilan Perso'!$B$28</c:f>
              <c:strCache>
                <c:ptCount val="1"/>
                <c:pt idx="0">
                  <c:v>Total capitaux propres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'Bilan Perso'!$C$28:$H$28</c:f>
              <c:numCache>
                <c:formatCode>_ * #\ ##0_)\ [$$-C0C]_ ;_ * \(#\ ##0\)\ [$$-C0C]_ ;_ * "-"??_)\ [$$-C0C]_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A-411C-8C7E-D3FE977864C8}"/>
            </c:ext>
          </c:extLst>
        </c:ser>
        <c:ser>
          <c:idx val="4"/>
          <c:order val="4"/>
          <c:tx>
            <c:strRef>
              <c:f>'Bilan Perso'!$B$34</c:f>
              <c:strCache>
                <c:ptCount val="1"/>
                <c:pt idx="0">
                  <c:v>Total autres actifs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'Bilan Perso'!$C$34:$H$34</c:f>
              <c:numCache>
                <c:formatCode>_ * #\ ##0_)\ [$$-C0C]_ ;_ * \(#\ ##0\)\ [$$-C0C]_ ;_ * "-"??_)\ [$$-C0C]_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6A-411C-8C7E-D3FE977864C8}"/>
            </c:ext>
          </c:extLst>
        </c:ser>
        <c:ser>
          <c:idx val="5"/>
          <c:order val="5"/>
          <c:tx>
            <c:strRef>
              <c:f>'Bilan Perso'!$B$45</c:f>
              <c:strCache>
                <c:ptCount val="1"/>
                <c:pt idx="0">
                  <c:v>Total du passif court terme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'Bilan Perso'!$C$46:$H$46</c:f>
              <c:numCache>
                <c:formatCode>_ * #\ ##0_)\ [$$-C0C]_ ;_ * \(#\ ##0\)\ [$$-C0C]_ ;_ * "-"??_)\ [$$-C0C]_ ;_ @_ </c:formatCode>
                <c:ptCount val="6"/>
                <c:pt idx="0">
                  <c:v>-60000</c:v>
                </c:pt>
                <c:pt idx="1">
                  <c:v>-35000</c:v>
                </c:pt>
                <c:pt idx="2">
                  <c:v>-35000</c:v>
                </c:pt>
                <c:pt idx="3">
                  <c:v>-280000</c:v>
                </c:pt>
                <c:pt idx="4">
                  <c:v>-250000</c:v>
                </c:pt>
                <c:pt idx="5">
                  <c:v>-225000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6A-411C-8C7E-D3FE977864C8}"/>
            </c:ext>
          </c:extLst>
        </c:ser>
        <c:ser>
          <c:idx val="6"/>
          <c:order val="6"/>
          <c:tx>
            <c:strRef>
              <c:f>'Bilan Perso'!$B$51</c:f>
              <c:strCache>
                <c:ptCount val="1"/>
                <c:pt idx="0">
                  <c:v>Total dettes à long terme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'Bilan Perso'!$C$52:$H$52</c:f>
              <c:numCache>
                <c:formatCode>_ * #\ ##0_)\ [$$-C0C]_ ;_ * \(#\ ##0\)\ [$$-C0C]_ ;_ * "-"??_)\ [$$-C0C]_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6A-411C-8C7E-D3FE97786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835174543"/>
        <c:axId val="835172463"/>
      </c:barChart>
      <c:dateAx>
        <c:axId val="83517454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5172463"/>
        <c:crosses val="autoZero"/>
        <c:auto val="1"/>
        <c:lblOffset val="100"/>
        <c:baseTimeUnit val="years"/>
        <c:majorUnit val="1"/>
        <c:majorTimeUnit val="years"/>
        <c:minorUnit val="6"/>
        <c:minorTimeUnit val="months"/>
      </c:dateAx>
      <c:valAx>
        <c:axId val="83517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* #\ ##0_)\ [$$-C0C]_ ;_ * \(#\ ##0\)\ [$$-C0C]_ ;_ * &quot;-&quot;??_)\ [$$-C0C]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51745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96447396998921"/>
          <c:y val="0.22305750412629724"/>
          <c:w val="0.1276755429836253"/>
          <c:h val="0.22404136392717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Actifs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92730557721273"/>
          <c:y val="0.11965858810443611"/>
          <c:w val="0.76090604900092262"/>
          <c:h val="0.66566538372623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'Bilan Perso'!$B$9</c:f>
              <c:strCache>
                <c:ptCount val="1"/>
                <c:pt idx="0">
                  <c:v>Total liquidité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Perso'!$C$5:$H$5</c:f>
              <c:numCache>
                <c:formatCode>mmm\-yy</c:formatCode>
                <c:ptCount val="6"/>
                <c:pt idx="0">
                  <c:v>44959</c:v>
                </c:pt>
                <c:pt idx="1">
                  <c:v>45444</c:v>
                </c:pt>
                <c:pt idx="2">
                  <c:v>45323</c:v>
                </c:pt>
                <c:pt idx="3">
                  <c:v>45689</c:v>
                </c:pt>
                <c:pt idx="4">
                  <c:v>46054</c:v>
                </c:pt>
                <c:pt idx="5">
                  <c:v>46419</c:v>
                </c:pt>
              </c:numCache>
            </c:numRef>
          </c:cat>
          <c:val>
            <c:numRef>
              <c:f>'Bilan Perso'!$C$9:$H$9</c:f>
              <c:numCache>
                <c:formatCode>_ * #\ ##0_)\ [$$-C0C]_ ;_ * \(#\ ##0\)\ [$$-C0C]_ ;_ * "-"??_)\ [$$-C0C]_ ;_ @_ </c:formatCode>
                <c:ptCount val="6"/>
                <c:pt idx="0">
                  <c:v>30000</c:v>
                </c:pt>
                <c:pt idx="1">
                  <c:v>60000</c:v>
                </c:pt>
                <c:pt idx="2">
                  <c:v>120000</c:v>
                </c:pt>
                <c:pt idx="3">
                  <c:v>500000</c:v>
                </c:pt>
                <c:pt idx="4">
                  <c:v>700000</c:v>
                </c:pt>
                <c:pt idx="5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B-47A1-AEEE-3C91B36A4319}"/>
            </c:ext>
          </c:extLst>
        </c:ser>
        <c:ser>
          <c:idx val="1"/>
          <c:order val="1"/>
          <c:tx>
            <c:strRef>
              <c:f>'Bilan Perso'!$B$16</c:f>
              <c:strCache>
                <c:ptCount val="1"/>
                <c:pt idx="0">
                  <c:v>Total épargnes et placements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'Bilan Perso'!$C$16:$H$16</c:f>
              <c:numCache>
                <c:formatCode>_ * #\ ##0_)\ [$$-C0C]_ ;_ * \(#\ ##0\)\ [$$-C0C]_ ;_ * "-"??_)\ [$$-C0C]_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B-47A1-AEEE-3C91B36A4319}"/>
            </c:ext>
          </c:extLst>
        </c:ser>
        <c:ser>
          <c:idx val="2"/>
          <c:order val="2"/>
          <c:tx>
            <c:strRef>
              <c:f>'Bilan Perso'!$B$22</c:f>
              <c:strCache>
                <c:ptCount val="1"/>
                <c:pt idx="0">
                  <c:v>Total immobilisations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'Bilan Perso'!$C$22:$H$22</c:f>
              <c:numCache>
                <c:formatCode>_ * #\ ##0_)\ [$$-C0C]_ ;_ * \(#\ ##0\)\ [$$-C0C]_ ;_ * "-"??_)\ [$$-C0C]_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FB-47A1-AEEE-3C91B36A4319}"/>
            </c:ext>
          </c:extLst>
        </c:ser>
        <c:ser>
          <c:idx val="3"/>
          <c:order val="3"/>
          <c:tx>
            <c:strRef>
              <c:f>'Bilan Perso'!$B$28</c:f>
              <c:strCache>
                <c:ptCount val="1"/>
                <c:pt idx="0">
                  <c:v>Total capitaux propres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'Bilan Perso'!$C$28:$H$28</c:f>
              <c:numCache>
                <c:formatCode>_ * #\ ##0_)\ [$$-C0C]_ ;_ * \(#\ ##0\)\ [$$-C0C]_ ;_ * "-"??_)\ [$$-C0C]_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FB-47A1-AEEE-3C91B36A4319}"/>
            </c:ext>
          </c:extLst>
        </c:ser>
        <c:ser>
          <c:idx val="4"/>
          <c:order val="4"/>
          <c:tx>
            <c:strRef>
              <c:f>'Bilan Perso'!$B$34</c:f>
              <c:strCache>
                <c:ptCount val="1"/>
                <c:pt idx="0">
                  <c:v>Total autres actifs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'Bilan Perso'!$C$34:$H$34</c:f>
              <c:numCache>
                <c:formatCode>_ * #\ ##0_)\ [$$-C0C]_ ;_ * \(#\ ##0\)\ [$$-C0C]_ ;_ * "-"??_)\ [$$-C0C]_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FB-47A1-AEEE-3C91B36A4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35174543"/>
        <c:axId val="835172463"/>
      </c:barChart>
      <c:dateAx>
        <c:axId val="83517454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5172463"/>
        <c:crosses val="autoZero"/>
        <c:auto val="1"/>
        <c:lblOffset val="100"/>
        <c:baseTimeUnit val="years"/>
        <c:majorUnit val="1"/>
        <c:majorTimeUnit val="years"/>
        <c:minorUnit val="6"/>
        <c:minorTimeUnit val="months"/>
      </c:dateAx>
      <c:valAx>
        <c:axId val="83517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* #\ ##0_)\ [$$-C0C]_ ;_ * \(#\ ##0\)\ [$$-C0C]_ ;_ * &quot;-&quot;??_)\ [$$-C0C]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51745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800" b="1"/>
              <a:t>Actif vs Passif &amp; Valeur Nette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1"/>
          <c:tx>
            <c:strRef>
              <c:f>'Bilan Perso'!$B$53</c:f>
              <c:strCache>
                <c:ptCount val="1"/>
                <c:pt idx="0">
                  <c:v>Total passifs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'Bilan Perso'!$C$54:$H$54</c:f>
              <c:numCache>
                <c:formatCode>_ * #\ ##0_)\ [$$-C0C]_ ;_ * \(#\ ##0\)\ [$$-C0C]_ ;_ * "-"??_)\ [$$-C0C]_ ;_ @_ </c:formatCode>
                <c:ptCount val="6"/>
                <c:pt idx="0">
                  <c:v>-60000</c:v>
                </c:pt>
                <c:pt idx="1">
                  <c:v>-35000</c:v>
                </c:pt>
                <c:pt idx="2">
                  <c:v>-35000</c:v>
                </c:pt>
                <c:pt idx="3">
                  <c:v>-280000</c:v>
                </c:pt>
                <c:pt idx="4">
                  <c:v>-250000</c:v>
                </c:pt>
                <c:pt idx="5">
                  <c:v>-225000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9-4A57-9B54-45439B96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835174543"/>
        <c:axId val="835172463"/>
      </c:barChart>
      <c:barChart>
        <c:barDir val="col"/>
        <c:grouping val="stacked"/>
        <c:varyColors val="0"/>
        <c:ser>
          <c:idx val="4"/>
          <c:order val="0"/>
          <c:tx>
            <c:strRef>
              <c:f>'Bilan Perso'!$B$36</c:f>
              <c:strCache>
                <c:ptCount val="1"/>
                <c:pt idx="0">
                  <c:v>Total actifs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774318021043306E-17"/>
                  <c:y val="-2.6376571349633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79-4A57-9B54-45439B965D2F}"/>
                </c:ext>
              </c:extLst>
            </c:dLbl>
            <c:dLbl>
              <c:idx val="1"/>
              <c:layout>
                <c:manualLayout>
                  <c:x val="0"/>
                  <c:y val="-2.24524566008197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9-4A57-9B54-45439B965D2F}"/>
                </c:ext>
              </c:extLst>
            </c:dLbl>
            <c:dLbl>
              <c:idx val="2"/>
              <c:layout>
                <c:manualLayout>
                  <c:x val="0"/>
                  <c:y val="-2.47273257509477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9-4A57-9B54-45439B965D2F}"/>
                </c:ext>
              </c:extLst>
            </c:dLbl>
            <c:dLbl>
              <c:idx val="3"/>
              <c:layout>
                <c:manualLayout>
                  <c:x val="-7.5097272084173224E-17"/>
                  <c:y val="-2.9944436769965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9-4A57-9B54-45439B965D2F}"/>
                </c:ext>
              </c:extLst>
            </c:dLbl>
            <c:dLbl>
              <c:idx val="4"/>
              <c:layout>
                <c:manualLayout>
                  <c:x val="-1.4336917562724014E-2"/>
                  <c:y val="-4.4537305643812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9-4A57-9B54-45439B965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'Bilan Perso'!$C$5:$H$5</c:f>
              <c:numCache>
                <c:formatCode>mmm\-yy</c:formatCode>
                <c:ptCount val="6"/>
                <c:pt idx="0">
                  <c:v>44959</c:v>
                </c:pt>
                <c:pt idx="1">
                  <c:v>45444</c:v>
                </c:pt>
                <c:pt idx="2">
                  <c:v>45323</c:v>
                </c:pt>
                <c:pt idx="3">
                  <c:v>45689</c:v>
                </c:pt>
                <c:pt idx="4">
                  <c:v>46054</c:v>
                </c:pt>
                <c:pt idx="5">
                  <c:v>46419</c:v>
                </c:pt>
              </c:numCache>
            </c:numRef>
          </c:cat>
          <c:val>
            <c:numRef>
              <c:f>'Bilan Perso'!$C$36:$H$36</c:f>
              <c:numCache>
                <c:formatCode>_ * #\ ##0_)\ [$$-C0C]_ ;_ * \(#\ ##0\)\ [$$-C0C]_ ;_ * "-"??_)\ [$$-C0C]_ ;_ @_ </c:formatCode>
                <c:ptCount val="6"/>
                <c:pt idx="0">
                  <c:v>30000</c:v>
                </c:pt>
                <c:pt idx="1">
                  <c:v>60000</c:v>
                </c:pt>
                <c:pt idx="2">
                  <c:v>120000</c:v>
                </c:pt>
                <c:pt idx="3">
                  <c:v>500000</c:v>
                </c:pt>
                <c:pt idx="4">
                  <c:v>700000</c:v>
                </c:pt>
                <c:pt idx="5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79-4A57-9B54-45439B965D2F}"/>
            </c:ext>
          </c:extLst>
        </c:ser>
        <c:ser>
          <c:idx val="1"/>
          <c:order val="3"/>
          <c:tx>
            <c:strRef>
              <c:f>'Bilan Perso'!$B$53</c:f>
              <c:strCache>
                <c:ptCount val="1"/>
                <c:pt idx="0">
                  <c:v>Total passifs</c:v>
                </c:pt>
              </c:strCache>
            </c:strRef>
          </c:tx>
          <c:spPr>
            <a:solidFill>
              <a:srgbClr val="D48886"/>
            </a:solidFill>
            <a:ln>
              <a:noFill/>
            </a:ln>
            <a:effectLst/>
          </c:spPr>
          <c:invertIfNegative val="0"/>
          <c:cat>
            <c:numRef>
              <c:f>'Bilan Perso'!$C$5:$H$5</c:f>
              <c:numCache>
                <c:formatCode>mmm\-yy</c:formatCode>
                <c:ptCount val="6"/>
                <c:pt idx="0">
                  <c:v>44959</c:v>
                </c:pt>
                <c:pt idx="1">
                  <c:v>45444</c:v>
                </c:pt>
                <c:pt idx="2">
                  <c:v>45323</c:v>
                </c:pt>
                <c:pt idx="3">
                  <c:v>45689</c:v>
                </c:pt>
                <c:pt idx="4">
                  <c:v>46054</c:v>
                </c:pt>
                <c:pt idx="5">
                  <c:v>46419</c:v>
                </c:pt>
              </c:numCache>
            </c:numRef>
          </c:cat>
          <c:val>
            <c:numRef>
              <c:f>'Bilan Perso'!$C$52:$H$52</c:f>
              <c:numCache>
                <c:formatCode>_ * #\ ##0_)\ [$$-C0C]_ ;_ * \(#\ ##0\)\ [$$-C0C]_ ;_ * "-"??_)\ [$$-C0C]_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79-4A57-9B54-45439B96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835174543"/>
        <c:axId val="835172463"/>
      </c:barChart>
      <c:lineChart>
        <c:grouping val="standard"/>
        <c:varyColors val="0"/>
        <c:ser>
          <c:idx val="0"/>
          <c:order val="2"/>
          <c:tx>
            <c:strRef>
              <c:f>'Bilan Perso'!$B$56</c:f>
              <c:strCache>
                <c:ptCount val="1"/>
                <c:pt idx="0">
                  <c:v>Valeur nette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635452826461207E-2"/>
                  <c:y val="2.2431735506745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79-4A57-9B54-45439B965D2F}"/>
                </c:ext>
              </c:extLst>
            </c:dLbl>
            <c:dLbl>
              <c:idx val="1"/>
              <c:layout>
                <c:manualLayout>
                  <c:x val="-2.8635452826461207E-2"/>
                  <c:y val="2.8279688723120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79-4A57-9B54-45439B965D2F}"/>
                </c:ext>
              </c:extLst>
            </c:dLbl>
            <c:dLbl>
              <c:idx val="2"/>
              <c:layout>
                <c:manualLayout>
                  <c:x val="-2.7324648935012154E-2"/>
                  <c:y val="3.412764193949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79-4A57-9B54-45439B965D2F}"/>
                </c:ext>
              </c:extLst>
            </c:dLbl>
            <c:dLbl>
              <c:idx val="3"/>
              <c:layout>
                <c:manualLayout>
                  <c:x val="-2.0450588837685611E-2"/>
                  <c:y val="2.6330370984328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9-4A57-9B54-45439B965D2F}"/>
                </c:ext>
              </c:extLst>
            </c:dLbl>
            <c:dLbl>
              <c:idx val="4"/>
              <c:layout>
                <c:manualLayout>
                  <c:x val="-2.1761392729134663E-2"/>
                  <c:y val="3.9975595155868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79-4A57-9B54-45439B965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'Bilan Perso'!$C$56:$H$56</c:f>
              <c:numCache>
                <c:formatCode>_ * #\ ##0_)\ [$$-C0C]_ ;_ * \(#\ ##0\)\ [$$-C0C]_ ;_ * "-"??_)\ [$$-C0C]_ ;_ @_ </c:formatCode>
                <c:ptCount val="6"/>
                <c:pt idx="0">
                  <c:v>-30000</c:v>
                </c:pt>
                <c:pt idx="1">
                  <c:v>25000</c:v>
                </c:pt>
                <c:pt idx="2">
                  <c:v>85000</c:v>
                </c:pt>
                <c:pt idx="3">
                  <c:v>220000</c:v>
                </c:pt>
                <c:pt idx="4">
                  <c:v>450000</c:v>
                </c:pt>
                <c:pt idx="5">
                  <c:v>775000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3979-4A57-9B54-45439B96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174543"/>
        <c:axId val="835172463"/>
      </c:lineChart>
      <c:dateAx>
        <c:axId val="835174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400" b="1"/>
                  <a:t>Année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5172463"/>
        <c:crosses val="autoZero"/>
        <c:auto val="1"/>
        <c:lblOffset val="100"/>
        <c:baseTimeUnit val="years"/>
        <c:majorTimeUnit val="years"/>
        <c:minorTimeUnit val="months"/>
      </c:dateAx>
      <c:valAx>
        <c:axId val="83517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400" b="1"/>
                  <a:t>Valeur patrimoine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* #\ ##0_)\ [$$-C0C]_ ;_ * \(#\ ##0\)\ [$$-C0C]_ ;_ * &quot;-&quot;??_)\ [$$-C0C]_ ;_ @_ 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5174543"/>
        <c:crosses val="autoZero"/>
        <c:crossBetween val="between"/>
      </c:valAx>
      <c:dTable>
        <c:showHorzBorder val="0"/>
        <c:showVertBorder val="0"/>
        <c:showOutline val="0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b="1" u="sng"/>
              <a:t>Évolution des liquidités $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783766949081114E-2"/>
          <c:y val="7.1046710884013334E-2"/>
          <c:w val="0.83958576741157986"/>
          <c:h val="0.78500594418551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previsionnel'!$A$60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FF5050"/>
            </a:solidFill>
            <a:ln>
              <a:solidFill>
                <a:srgbClr val="FF505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previsionnel'!$E$1:$P$1</c15:sqref>
                  </c15:fullRef>
                </c:ext>
              </c:extLst>
              <c:f>'Budget previsionnel'!$E$1:$M$1</c:f>
              <c:strCache>
                <c:ptCount val="9"/>
                <c:pt idx="0">
                  <c:v>avr-23</c:v>
                </c:pt>
                <c:pt idx="1">
                  <c:v>mai-23</c:v>
                </c:pt>
                <c:pt idx="2">
                  <c:v>juin-23</c:v>
                </c:pt>
                <c:pt idx="3">
                  <c:v>juill-23</c:v>
                </c:pt>
                <c:pt idx="4">
                  <c:v>août-23</c:v>
                </c:pt>
                <c:pt idx="5">
                  <c:v>sept-23</c:v>
                </c:pt>
                <c:pt idx="6">
                  <c:v>oct-23</c:v>
                </c:pt>
                <c:pt idx="7">
                  <c:v>nov-23</c:v>
                </c:pt>
                <c:pt idx="8">
                  <c:v>déc-23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previsionnel'!$E$60:$P$60</c15:sqref>
                  </c15:fullRef>
                </c:ext>
              </c:extLst>
              <c:f>'Budget previsionnel'!$E$60:$M$60</c:f>
              <c:numCache>
                <c:formatCode>_ * #\ ##0_)\ "$"_ ;_ * \(#\ ##0\)\ "$"_ ;_ * "-"??_)\ "$"_ ;_ @_ </c:formatCode>
                <c:ptCount val="9"/>
                <c:pt idx="0">
                  <c:v>-826</c:v>
                </c:pt>
                <c:pt idx="1">
                  <c:v>-2126</c:v>
                </c:pt>
                <c:pt idx="2">
                  <c:v>-826</c:v>
                </c:pt>
                <c:pt idx="3">
                  <c:v>-826</c:v>
                </c:pt>
                <c:pt idx="4">
                  <c:v>-826</c:v>
                </c:pt>
                <c:pt idx="5">
                  <c:v>-2126</c:v>
                </c:pt>
                <c:pt idx="6">
                  <c:v>-826</c:v>
                </c:pt>
                <c:pt idx="7">
                  <c:v>-826</c:v>
                </c:pt>
                <c:pt idx="8">
                  <c:v>-826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A-40FF-8017-95D029F24EF8}"/>
            </c:ext>
          </c:extLst>
        </c:ser>
        <c:ser>
          <c:idx val="1"/>
          <c:order val="1"/>
          <c:tx>
            <c:strRef>
              <c:f>'Budget previsionnel'!$A$61</c:f>
              <c:strCache>
                <c:ptCount val="1"/>
                <c:pt idx="0">
                  <c:v>Surplus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previsionnel'!$E$1:$P$1</c15:sqref>
                  </c15:fullRef>
                </c:ext>
              </c:extLst>
              <c:f>'Budget previsionnel'!$E$1:$M$1</c:f>
              <c:strCache>
                <c:ptCount val="9"/>
                <c:pt idx="0">
                  <c:v>avr-23</c:v>
                </c:pt>
                <c:pt idx="1">
                  <c:v>mai-23</c:v>
                </c:pt>
                <c:pt idx="2">
                  <c:v>juin-23</c:v>
                </c:pt>
                <c:pt idx="3">
                  <c:v>juill-23</c:v>
                </c:pt>
                <c:pt idx="4">
                  <c:v>août-23</c:v>
                </c:pt>
                <c:pt idx="5">
                  <c:v>sept-23</c:v>
                </c:pt>
                <c:pt idx="6">
                  <c:v>oct-23</c:v>
                </c:pt>
                <c:pt idx="7">
                  <c:v>nov-23</c:v>
                </c:pt>
                <c:pt idx="8">
                  <c:v>déc-23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previsionnel'!$E$61:$P$61</c15:sqref>
                  </c15:fullRef>
                </c:ext>
              </c:extLst>
              <c:f>'Budget previsionnel'!$E$61:$M$61</c:f>
              <c:numCache>
                <c:formatCode>_ * #\ ##0_)\ "$"_ ;_ * \(#\ ##0\)\ "$"_ ;_ * "-"??_)\ "$"_ ;_ @_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A-40FF-8017-95D029F2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0"/>
        <c:axId val="1992078192"/>
        <c:axId val="1992079440"/>
      </c:barChart>
      <c:lineChart>
        <c:grouping val="standard"/>
        <c:varyColors val="0"/>
        <c:ser>
          <c:idx val="2"/>
          <c:order val="2"/>
          <c:tx>
            <c:strRef>
              <c:f>'Budget previsionnel'!$A$62</c:f>
              <c:strCache>
                <c:ptCount val="1"/>
                <c:pt idx="0">
                  <c:v>Solde au compte prévue</c:v>
                </c:pt>
              </c:strCache>
            </c:strRef>
          </c:tx>
          <c:spPr>
            <a:ln w="635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'Budget previsionnel'!$E$1:$P$1</c15:sqref>
                  </c15:fullRef>
                </c:ext>
              </c:extLst>
              <c:f>'Budget previsionnel'!$E$1:$M$1</c:f>
              <c:strCache>
                <c:ptCount val="9"/>
                <c:pt idx="0">
                  <c:v>avr-23</c:v>
                </c:pt>
                <c:pt idx="1">
                  <c:v>mai-23</c:v>
                </c:pt>
                <c:pt idx="2">
                  <c:v>juin-23</c:v>
                </c:pt>
                <c:pt idx="3">
                  <c:v>juill-23</c:v>
                </c:pt>
                <c:pt idx="4">
                  <c:v>août-23</c:v>
                </c:pt>
                <c:pt idx="5">
                  <c:v>sept-23</c:v>
                </c:pt>
                <c:pt idx="6">
                  <c:v>oct-23</c:v>
                </c:pt>
                <c:pt idx="7">
                  <c:v>nov-23</c:v>
                </c:pt>
                <c:pt idx="8">
                  <c:v>déc-23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previsionnel'!$E$62:$P$62</c15:sqref>
                  </c15:fullRef>
                </c:ext>
              </c:extLst>
              <c:f>'Budget previsionnel'!$E$62:$M$62</c:f>
              <c:numCache>
                <c:formatCode>_ * #\ ##0_)\ "$"_ ;_ * \(#\ ##0\)\ "$"_ ;_ * "-"??_)\ "$"_ ;_ @_ </c:formatCode>
                <c:ptCount val="9"/>
                <c:pt idx="0">
                  <c:v>8698</c:v>
                </c:pt>
                <c:pt idx="1">
                  <c:v>6572</c:v>
                </c:pt>
                <c:pt idx="2">
                  <c:v>5746</c:v>
                </c:pt>
                <c:pt idx="3">
                  <c:v>4920</c:v>
                </c:pt>
                <c:pt idx="4">
                  <c:v>4094</c:v>
                </c:pt>
                <c:pt idx="5">
                  <c:v>1968</c:v>
                </c:pt>
                <c:pt idx="6">
                  <c:v>1142</c:v>
                </c:pt>
                <c:pt idx="7">
                  <c:v>316</c:v>
                </c:pt>
                <c:pt idx="8">
                  <c:v>-510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DA-40FF-8017-95D029F2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58639"/>
        <c:axId val="1072181007"/>
      </c:lineChart>
      <c:dateAx>
        <c:axId val="1992078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2079440"/>
        <c:crosses val="autoZero"/>
        <c:auto val="0"/>
        <c:lblOffset val="100"/>
        <c:baseTimeUnit val="months"/>
        <c:majorUnit val="2"/>
        <c:majorTimeUnit val="months"/>
      </c:dateAx>
      <c:valAx>
        <c:axId val="199207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 sz="1200" b="1"/>
                  <a:t>Surplus</a:t>
                </a:r>
                <a:r>
                  <a:rPr lang="fr-CA" sz="1200" b="1" baseline="0"/>
                  <a:t> ou déficit par mois</a:t>
                </a:r>
              </a:p>
            </c:rich>
          </c:tx>
          <c:layout>
            <c:manualLayout>
              <c:xMode val="edge"/>
              <c:yMode val="edge"/>
              <c:x val="1.1431541595345686E-2"/>
              <c:y val="0.40729099324026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* #\ ##0_)\ &quot;$&quot;_ ;_ * \(#\ ##0\)\ &quot;$&quot;_ ;_ * &quot;-&quot;??_)\ &quot;$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2078192"/>
        <c:crosses val="autoZero"/>
        <c:crossBetween val="midCat"/>
      </c:valAx>
      <c:valAx>
        <c:axId val="1072181007"/>
        <c:scaling>
          <c:orientation val="minMax"/>
        </c:scaling>
        <c:delete val="0"/>
        <c:axPos val="r"/>
        <c:numFmt formatCode="_ * #\ ##0_)\ &quot;$&quot;_ ;_ * \(#\ ##0\)\ &quot;$&quot;_ ;_ * &quot;-&quot;??_)\ &quot;$&quot;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3258639"/>
        <c:crosses val="max"/>
        <c:crossBetween val="between"/>
      </c:valAx>
      <c:dateAx>
        <c:axId val="93325863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7218100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73270</xdr:colOff>
      <xdr:row>0</xdr:row>
      <xdr:rowOff>0</xdr:rowOff>
    </xdr:from>
    <xdr:to>
      <xdr:col>8</xdr:col>
      <xdr:colOff>14654</xdr:colOff>
      <xdr:row>1</xdr:row>
      <xdr:rowOff>224729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93E9C8-9177-429E-A3A2-AD239192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695" y="0"/>
          <a:ext cx="1160584" cy="46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73270</xdr:colOff>
      <xdr:row>0</xdr:row>
      <xdr:rowOff>0</xdr:rowOff>
    </xdr:from>
    <xdr:to>
      <xdr:col>8</xdr:col>
      <xdr:colOff>8304</xdr:colOff>
      <xdr:row>1</xdr:row>
      <xdr:rowOff>218379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94B839-CBEC-428F-BE1B-72F6C8EC0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4299" y="0"/>
          <a:ext cx="1161317" cy="462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40296</xdr:colOff>
      <xdr:row>0</xdr:row>
      <xdr:rowOff>14652</xdr:rowOff>
    </xdr:from>
    <xdr:to>
      <xdr:col>8</xdr:col>
      <xdr:colOff>105</xdr:colOff>
      <xdr:row>1</xdr:row>
      <xdr:rowOff>340647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F090D2-60E5-481F-968B-E9345ECCE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9027" y="14652"/>
          <a:ext cx="1208944" cy="494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738188</xdr:colOff>
      <xdr:row>39</xdr:row>
      <xdr:rowOff>142875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E490E0F7-49AB-44D2-A301-579DCFD51095}"/>
            </a:ext>
            <a:ext uri="{147F2762-F138-4A5C-976F-8EAC2B608ADB}">
              <a16:predDERef xmlns:a16="http://schemas.microsoft.com/office/drawing/2014/main" pred="{C4035D5C-D8A9-4569-8990-533F70886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1135673</xdr:colOff>
      <xdr:row>0</xdr:row>
      <xdr:rowOff>0</xdr:rowOff>
    </xdr:from>
    <xdr:to>
      <xdr:col>8</xdr:col>
      <xdr:colOff>2</xdr:colOff>
      <xdr:row>1</xdr:row>
      <xdr:rowOff>325995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A38CF3-BEA7-492F-A65F-7A66192F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9898" y="0"/>
          <a:ext cx="1207479" cy="4879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1135673</xdr:colOff>
      <xdr:row>0</xdr:row>
      <xdr:rowOff>0</xdr:rowOff>
    </xdr:from>
    <xdr:to>
      <xdr:col>8</xdr:col>
      <xdr:colOff>2</xdr:colOff>
      <xdr:row>1</xdr:row>
      <xdr:rowOff>325995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70AF82-97C1-4F62-B127-DF0C6A7D1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9898" y="0"/>
          <a:ext cx="1207479" cy="4879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40</xdr:row>
      <xdr:rowOff>147637</xdr:rowOff>
    </xdr:from>
    <xdr:to>
      <xdr:col>17</xdr:col>
      <xdr:colOff>338137</xdr:colOff>
      <xdr:row>87</xdr:row>
      <xdr:rowOff>76199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1B9BA2-F7F4-4CF1-A9D1-72C269C69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</xdr:colOff>
      <xdr:row>81</xdr:row>
      <xdr:rowOff>66674</xdr:rowOff>
    </xdr:from>
    <xdr:to>
      <xdr:col>17</xdr:col>
      <xdr:colOff>171451</xdr:colOff>
      <xdr:row>121</xdr:row>
      <xdr:rowOff>95250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F307D27-797A-495E-8FCC-F279E3172BB6}"/>
            </a:ext>
            <a:ext uri="{147F2762-F138-4A5C-976F-8EAC2B608ADB}">
              <a16:predDERef xmlns:a16="http://schemas.microsoft.com/office/drawing/2014/main" pred="{4E459050-5301-4272-96F1-18DB53694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0</xdr:row>
      <xdr:rowOff>23813</xdr:rowOff>
    </xdr:from>
    <xdr:to>
      <xdr:col>19</xdr:col>
      <xdr:colOff>23813</xdr:colOff>
      <xdr:row>40</xdr:row>
      <xdr:rowOff>61913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EE0F62B-CC67-4DF7-A44F-CE757FEB775D}"/>
            </a:ext>
            <a:ext uri="{147F2762-F138-4A5C-976F-8EAC2B608ADB}">
              <a16:predDERef xmlns:a16="http://schemas.microsoft.com/office/drawing/2014/main" pred="{C4035D5C-D8A9-4569-8990-533F70886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</xdr:colOff>
      <xdr:row>1</xdr:row>
      <xdr:rowOff>19050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87AD324C-E3F7-40DA-9E02-FB7A64B50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78175" cy="1104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0</xdr:row>
      <xdr:rowOff>127000</xdr:rowOff>
    </xdr:from>
    <xdr:to>
      <xdr:col>1</xdr:col>
      <xdr:colOff>1104901</xdr:colOff>
      <xdr:row>2</xdr:row>
      <xdr:rowOff>136525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C55AD80-815A-CC09-C063-20A34596D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1" y="127000"/>
          <a:ext cx="1447800" cy="542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9529</xdr:colOff>
      <xdr:row>17</xdr:row>
      <xdr:rowOff>1</xdr:rowOff>
    </xdr:from>
    <xdr:to>
      <xdr:col>15</xdr:col>
      <xdr:colOff>419099</xdr:colOff>
      <xdr:row>23</xdr:row>
      <xdr:rowOff>171450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9D5B8F92-CC10-4A0B-A900-4DB37E599A82}"/>
            </a:ext>
          </a:extLst>
        </xdr:cNvPr>
        <xdr:cNvCxnSpPr/>
      </xdr:nvCxnSpPr>
      <xdr:spPr>
        <a:xfrm rot="5400000" flipH="1" flipV="1">
          <a:off x="5929314" y="6281741"/>
          <a:ext cx="2171699" cy="1381120"/>
        </a:xfrm>
        <a:prstGeom prst="bentConnector3">
          <a:avLst>
            <a:gd name="adj1" fmla="val 439"/>
          </a:avLst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</xdr:colOff>
      <xdr:row>17</xdr:row>
      <xdr:rowOff>95250</xdr:rowOff>
    </xdr:from>
    <xdr:to>
      <xdr:col>16</xdr:col>
      <xdr:colOff>180979</xdr:colOff>
      <xdr:row>27</xdr:row>
      <xdr:rowOff>190501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7DD337B1-CC67-4076-957C-36A76D52CBE1}"/>
            </a:ext>
          </a:extLst>
        </xdr:cNvPr>
        <xdr:cNvCxnSpPr/>
      </xdr:nvCxnSpPr>
      <xdr:spPr>
        <a:xfrm rot="5400000" flipH="1" flipV="1">
          <a:off x="5414964" y="6881812"/>
          <a:ext cx="3429001" cy="1628778"/>
        </a:xfrm>
        <a:prstGeom prst="bentConnector3">
          <a:avLst>
            <a:gd name="adj1" fmla="val -345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9528</xdr:colOff>
      <xdr:row>17</xdr:row>
      <xdr:rowOff>19050</xdr:rowOff>
    </xdr:from>
    <xdr:to>
      <xdr:col>6</xdr:col>
      <xdr:colOff>0</xdr:colOff>
      <xdr:row>19</xdr:row>
      <xdr:rowOff>190500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91ABCD71-6DC7-42FE-83D1-57920710442A}"/>
            </a:ext>
          </a:extLst>
        </xdr:cNvPr>
        <xdr:cNvCxnSpPr/>
      </xdr:nvCxnSpPr>
      <xdr:spPr>
        <a:xfrm rot="10800000">
          <a:off x="1466853" y="5905500"/>
          <a:ext cx="1447797" cy="838200"/>
        </a:xfrm>
        <a:prstGeom prst="bentConnector3">
          <a:avLst>
            <a:gd name="adj1" fmla="val 100365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247651</xdr:colOff>
      <xdr:row>17</xdr:row>
      <xdr:rowOff>133350</xdr:rowOff>
    </xdr:from>
    <xdr:to>
      <xdr:col>6</xdr:col>
      <xdr:colOff>9526</xdr:colOff>
      <xdr:row>21</xdr:row>
      <xdr:rowOff>171450</xdr:rowOff>
    </xdr:to>
    <xdr:cxnSp macro="">
      <xdr:nvCxnSpPr>
        <xdr:cNvPr id="5" name="Connecteur : en angle 4">
          <a:extLst>
            <a:ext uri="{FF2B5EF4-FFF2-40B4-BE49-F238E27FC236}">
              <a16:creationId xmlns:a16="http://schemas.microsoft.com/office/drawing/2014/main" id="{D3AF6E7C-BFD2-416E-8FF9-B392C64C02DE}"/>
            </a:ext>
          </a:extLst>
        </xdr:cNvPr>
        <xdr:cNvCxnSpPr/>
      </xdr:nvCxnSpPr>
      <xdr:spPr>
        <a:xfrm rot="10800000">
          <a:off x="1219201" y="6019800"/>
          <a:ext cx="1704975" cy="1371600"/>
        </a:xfrm>
        <a:prstGeom prst="bentConnector3">
          <a:avLst>
            <a:gd name="adj1" fmla="val 100314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390524</xdr:colOff>
      <xdr:row>10</xdr:row>
      <xdr:rowOff>238125</xdr:rowOff>
    </xdr:from>
    <xdr:to>
      <xdr:col>8</xdr:col>
      <xdr:colOff>438149</xdr:colOff>
      <xdr:row>10</xdr:row>
      <xdr:rowOff>657225</xdr:rowOff>
    </xdr:to>
    <xdr:sp macro="" textlink="">
      <xdr:nvSpPr>
        <xdr:cNvPr id="6" name="Flèche : courbe vers le bas 5">
          <a:extLst>
            <a:ext uri="{FF2B5EF4-FFF2-40B4-BE49-F238E27FC236}">
              <a16:creationId xmlns:a16="http://schemas.microsoft.com/office/drawing/2014/main" id="{30A0225D-A74A-4149-A704-4BB815DACD65}"/>
            </a:ext>
          </a:extLst>
        </xdr:cNvPr>
        <xdr:cNvSpPr/>
      </xdr:nvSpPr>
      <xdr:spPr>
        <a:xfrm>
          <a:off x="1362074" y="3467100"/>
          <a:ext cx="2962275" cy="419100"/>
        </a:xfrm>
        <a:prstGeom prst="curvedDown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9522</xdr:colOff>
      <xdr:row>10</xdr:row>
      <xdr:rowOff>247648</xdr:rowOff>
    </xdr:from>
    <xdr:to>
      <xdr:col>16</xdr:col>
      <xdr:colOff>47621</xdr:colOff>
      <xdr:row>10</xdr:row>
      <xdr:rowOff>666749</xdr:rowOff>
    </xdr:to>
    <xdr:sp macro="" textlink="">
      <xdr:nvSpPr>
        <xdr:cNvPr id="7" name="Flèche : courbe vers le haut 6">
          <a:extLst>
            <a:ext uri="{FF2B5EF4-FFF2-40B4-BE49-F238E27FC236}">
              <a16:creationId xmlns:a16="http://schemas.microsoft.com/office/drawing/2014/main" id="{43944F4C-FB4B-4E92-937F-A7754E1F2BA9}"/>
            </a:ext>
          </a:extLst>
        </xdr:cNvPr>
        <xdr:cNvSpPr/>
      </xdr:nvSpPr>
      <xdr:spPr>
        <a:xfrm rot="10800000">
          <a:off x="4867272" y="3476623"/>
          <a:ext cx="2943224" cy="419101"/>
        </a:xfrm>
        <a:prstGeom prst="curvedUp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38100</xdr:colOff>
      <xdr:row>13</xdr:row>
      <xdr:rowOff>85725</xdr:rowOff>
    </xdr:from>
    <xdr:to>
      <xdr:col>10</xdr:col>
      <xdr:colOff>38100</xdr:colOff>
      <xdr:row>14</xdr:row>
      <xdr:rowOff>276225</xdr:rowOff>
    </xdr:to>
    <xdr:sp macro="" textlink="">
      <xdr:nvSpPr>
        <xdr:cNvPr id="8" name="Flèche : bas 7">
          <a:extLst>
            <a:ext uri="{FF2B5EF4-FFF2-40B4-BE49-F238E27FC236}">
              <a16:creationId xmlns:a16="http://schemas.microsoft.com/office/drawing/2014/main" id="{95D58E0D-331F-4916-8319-1CE80335C6FB}"/>
            </a:ext>
          </a:extLst>
        </xdr:cNvPr>
        <xdr:cNvSpPr/>
      </xdr:nvSpPr>
      <xdr:spPr>
        <a:xfrm>
          <a:off x="4410075" y="4638675"/>
          <a:ext cx="485775" cy="523875"/>
        </a:xfrm>
        <a:prstGeom prst="down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144236</xdr:colOff>
      <xdr:row>0</xdr:row>
      <xdr:rowOff>0</xdr:rowOff>
    </xdr:from>
    <xdr:to>
      <xdr:col>0</xdr:col>
      <xdr:colOff>2716791</xdr:colOff>
      <xdr:row>1</xdr:row>
      <xdr:rowOff>7257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9B8DE2-0E0D-4768-A97B-BF2A792E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36" y="0"/>
          <a:ext cx="2566205" cy="102597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0</xdr:colOff>
      <xdr:row>31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E17C01E-59BA-43C5-BC45-8090BC672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1472713</xdr:colOff>
      <xdr:row>1</xdr:row>
      <xdr:rowOff>60082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B18588-4D9E-4BDA-AE2D-6CE18CC15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2713" cy="59348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1472713</xdr:colOff>
      <xdr:row>1</xdr:row>
      <xdr:rowOff>60082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BCD2526-3A59-4E94-9AE4-A6AD29EA4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2713" cy="5934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B57BF0B-C10A-491B-BF66-2CD97CACDB47}" name="currentassets27" displayName="currentassets27" ref="B6:H14" headerRowCount="0" totalsRowCount="1" headerRowDxfId="640" dataDxfId="639" totalsRowDxfId="638">
  <sortState xmlns:xlrd2="http://schemas.microsoft.com/office/spreadsheetml/2017/richdata2" ref="B6:H8">
    <sortCondition descending="1" ref="C5:C8"/>
  </sortState>
  <tableColumns count="7">
    <tableColumn id="1" xr3:uid="{823C92B9-AEEF-4949-84D5-7DE6790BAA8E}" name="Actifs" headerRowDxfId="637" dataDxfId="636" totalsRowDxfId="635"/>
    <tableColumn id="2" xr3:uid="{51184545-F2EB-4B30-A795-9F4D829EA84B}" name="Colonne1" headerRowDxfId="634" dataDxfId="633" totalsRowDxfId="632"/>
    <tableColumn id="3" xr3:uid="{0E04F86A-B7F7-4945-9915-757ECE75787C}" name="Colonne2" headerRowDxfId="631" dataDxfId="630" totalsRowDxfId="629"/>
    <tableColumn id="6" xr3:uid="{0D3E4985-23B1-4095-A6F2-7F5A7FA9F44E}" name="Colonne3" headerRowDxfId="628" dataDxfId="627" totalsRowDxfId="626"/>
    <tableColumn id="7" xr3:uid="{62C4E41E-2F46-4C7C-BAE7-3EDACBD6ED7B}" name="Colonne4" headerRowDxfId="625" dataDxfId="624" totalsRowDxfId="623"/>
    <tableColumn id="8" xr3:uid="{BE691A23-8D1D-4B0F-B59F-C0C87305191B}" name="Colonne5" headerRowDxfId="622" dataDxfId="621" totalsRowDxfId="620"/>
    <tableColumn id="9" xr3:uid="{08B2169F-33D2-4F27-A09C-167787429E8B}" name="Colonne6" headerRowDxfId="619" dataDxfId="618" totalsRowDxfId="6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75F8B34-41D7-4288-A344-E9852D18CD7D}" name="currentassets2719" displayName="currentassets2719" ref="B17:H25" headerRowCount="0" totalsRowCount="1" headerRowDxfId="616" dataDxfId="615" totalsRowDxfId="614">
  <sortState xmlns:xlrd2="http://schemas.microsoft.com/office/spreadsheetml/2017/richdata2" ref="B17:H19">
    <sortCondition descending="1" ref="C5:C8"/>
  </sortState>
  <tableColumns count="7">
    <tableColumn id="1" xr3:uid="{586CFF94-92EE-415F-9013-4DDD0A8FADD4}" name="Actifs" headerRowDxfId="613" dataDxfId="612" totalsRowDxfId="611"/>
    <tableColumn id="2" xr3:uid="{85785223-C0F9-4261-9404-A39C52D2FD48}" name="Colonne1" headerRowDxfId="610" dataDxfId="609" totalsRowDxfId="608"/>
    <tableColumn id="3" xr3:uid="{E9DF60E4-3B77-4833-B29C-F68FD7ACA5E0}" name="Colonne2" headerRowDxfId="607" dataDxfId="606" totalsRowDxfId="605"/>
    <tableColumn id="6" xr3:uid="{8DE6C3F7-D66B-42B7-AB91-A5E3E8EEB47A}" name="Colonne3" headerRowDxfId="604" dataDxfId="603" totalsRowDxfId="602"/>
    <tableColumn id="7" xr3:uid="{26ABB30B-D715-40D9-A3FA-C76F33F96929}" name="Colonne4" headerRowDxfId="601" dataDxfId="600" totalsRowDxfId="599"/>
    <tableColumn id="8" xr3:uid="{F61B1C06-6ABE-46EF-84FB-6AC26AD1C478}" name="Colonne5" headerRowDxfId="598" dataDxfId="597" totalsRowDxfId="596"/>
    <tableColumn id="9" xr3:uid="{40673C80-AACA-4D3B-97A4-DC0EEAF6D146}" name="Colonne6" headerRowDxfId="595" dataDxfId="594" totalsRowDxfId="59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ixedassets" displayName="fixedassets" ref="B19:H22" headerRowCount="0" totalsRowCount="1" headerRowDxfId="592" dataDxfId="590" totalsRowDxfId="589" headerRowBorderDxfId="591">
  <tableColumns count="7">
    <tableColumn id="1" xr3:uid="{00000000-0010-0000-0000-000001000000}" name="Actifs" totalsRowLabel="Total immobilisations" headerRowDxfId="588" dataDxfId="587" totalsRowDxfId="586"/>
    <tableColumn id="2" xr3:uid="{00000000-0010-0000-0000-000002000000}" name="Colonne1" totalsRowFunction="custom" headerRowDxfId="585" dataDxfId="584" totalsRowDxfId="583">
      <totalsRowFormula>SUM(C19:C21)</totalsRowFormula>
    </tableColumn>
    <tableColumn id="3" xr3:uid="{00000000-0010-0000-0000-000003000000}" name="Colonne2" totalsRowFunction="custom" headerRowDxfId="582" dataDxfId="581" totalsRowDxfId="580">
      <totalsRowFormula>SUM(D19:D21)</totalsRowFormula>
    </tableColumn>
    <tableColumn id="4" xr3:uid="{00000000-0010-0000-0000-000004000000}" name="Colonne3" totalsRowFunction="custom" headerRowDxfId="579" dataDxfId="578" totalsRowDxfId="577">
      <totalsRowFormula>SUM(E19:E21)</totalsRowFormula>
    </tableColumn>
    <tableColumn id="5" xr3:uid="{00000000-0010-0000-0000-000005000000}" name="Colonne4" totalsRowFunction="custom" headerRowDxfId="576" dataDxfId="575" totalsRowDxfId="574">
      <totalsRowFormula>SUM(F19:F21)</totalsRowFormula>
    </tableColumn>
    <tableColumn id="6" xr3:uid="{00000000-0010-0000-0000-000006000000}" name="Colonne5" totalsRowFunction="custom" headerRowDxfId="573" dataDxfId="572" totalsRowDxfId="571">
      <totalsRowFormula>SUM(G19:G21)</totalsRowFormula>
    </tableColumn>
    <tableColumn id="7" xr3:uid="{00000000-0010-0000-0000-000007000000}" name="Colonne6" totalsRowFunction="custom" headerRowDxfId="570" dataDxfId="569" totalsRowDxfId="568">
      <totalsRowFormula>SUM(H19:H21)</totalsRow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otherassets" displayName="otherassets" ref="B31:H34" headerRowCount="0" totalsRowCount="1" headerRowDxfId="567" dataDxfId="566" totalsRowDxfId="565">
  <tableColumns count="7">
    <tableColumn id="1" xr3:uid="{00000000-0010-0000-0100-000001000000}" name="Autres actifs :" totalsRowLabel="Total autres actifs" headerRowDxfId="564" dataDxfId="563" totalsRowDxfId="562"/>
    <tableColumn id="2" xr3:uid="{00000000-0010-0000-0100-000002000000}" name="Colonne1" totalsRowFunction="custom" headerRowDxfId="561" dataDxfId="560" totalsRowDxfId="559">
      <totalsRowFormula>SUM(C31:C33)</totalsRowFormula>
    </tableColumn>
    <tableColumn id="3" xr3:uid="{00000000-0010-0000-0100-000003000000}" name="Colonne2" totalsRowFunction="custom" headerRowDxfId="558" dataDxfId="557" totalsRowDxfId="556">
      <totalsRowFormula>SUM(D31:D33)</totalsRowFormula>
    </tableColumn>
    <tableColumn id="4" xr3:uid="{00000000-0010-0000-0100-000004000000}" name="Colonne3" totalsRowFunction="custom" headerRowDxfId="555" dataDxfId="554" totalsRowDxfId="553">
      <totalsRowFormula>SUM(E31:E33)</totalsRowFormula>
    </tableColumn>
    <tableColumn id="5" xr3:uid="{00000000-0010-0000-0100-000005000000}" name="Colonne4" totalsRowFunction="custom" headerRowDxfId="552" dataDxfId="551" totalsRowDxfId="550">
      <totalsRowFormula>SUM(F31:F33)</totalsRowFormula>
    </tableColumn>
    <tableColumn id="6" xr3:uid="{00000000-0010-0000-0100-000006000000}" name="Colonne5" totalsRowFunction="custom" headerRowDxfId="549" dataDxfId="548" totalsRowDxfId="547">
      <totalsRowFormula>SUM(G31:G33)</totalsRowFormula>
    </tableColumn>
    <tableColumn id="7" xr3:uid="{00000000-0010-0000-0100-000007000000}" name="Colonne6" totalsRowFunction="custom" headerRowDxfId="546" dataDxfId="545" totalsRowDxfId="544">
      <totalsRowFormula>SUM(H31:H33)</totalsRow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currentliabilities" displayName="currentliabilities" ref="B40:H45" headerRowCount="0" totalsRowCount="1" headerRowDxfId="543" dataDxfId="542" totalsRowDxfId="541">
  <tableColumns count="7">
    <tableColumn id="1" xr3:uid="{00000000-0010-0000-0200-000001000000}" name="Passif exigible :" totalsRowLabel="Total du passif court terme" headerRowDxfId="540" dataDxfId="539" totalsRowDxfId="538"/>
    <tableColumn id="2" xr3:uid="{00000000-0010-0000-0200-000002000000}" name="Colonne1" totalsRowFunction="custom" headerRowDxfId="537" dataDxfId="536" totalsRowDxfId="535">
      <totalsRowFormula>SUM(C40:C44)</totalsRowFormula>
    </tableColumn>
    <tableColumn id="3" xr3:uid="{00000000-0010-0000-0200-000003000000}" name="Colonne2" totalsRowFunction="custom" headerRowDxfId="534" dataDxfId="533" totalsRowDxfId="532">
      <totalsRowFormula>SUM(D40:D44)</totalsRowFormula>
    </tableColumn>
    <tableColumn id="4" xr3:uid="{00000000-0010-0000-0200-000004000000}" name="Colonne3" totalsRowFunction="custom" headerRowDxfId="531" dataDxfId="530" totalsRowDxfId="529">
      <totalsRowFormula>SUM(E40:E44)</totalsRowFormula>
    </tableColumn>
    <tableColumn id="5" xr3:uid="{00000000-0010-0000-0200-000005000000}" name="Colonne4" totalsRowFunction="custom" headerRowDxfId="528" dataDxfId="527" totalsRowDxfId="526">
      <totalsRowFormula>SUM(F40:F44)</totalsRowFormula>
    </tableColumn>
    <tableColumn id="6" xr3:uid="{00000000-0010-0000-0200-000006000000}" name="Colonne5" totalsRowFunction="custom" headerRowDxfId="525" dataDxfId="524" totalsRowDxfId="523">
      <totalsRowFormula>SUM(G40:G44)</totalsRowFormula>
    </tableColumn>
    <tableColumn id="7" xr3:uid="{00000000-0010-0000-0200-000007000000}" name="Colonne6" totalsRowFunction="custom" headerRowDxfId="522" dataDxfId="521" totalsRowDxfId="520">
      <totalsRowFormula>SUM(H40:H44)</totalsRow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longtermliabilities" displayName="longtermliabilities" ref="B48:H51" headerRowCount="0" totalsRowCount="1" headerRowDxfId="519" dataDxfId="518" totalsRowDxfId="517">
  <tableColumns count="7">
    <tableColumn id="1" xr3:uid="{00000000-0010-0000-0300-000001000000}" name="Dettes à long terme :" totalsRowLabel="Total dettes à long terme" headerRowDxfId="516" dataDxfId="515" totalsRowDxfId="514"/>
    <tableColumn id="2" xr3:uid="{00000000-0010-0000-0300-000002000000}" name="Colonne1" totalsRowFunction="custom" headerRowDxfId="513" dataDxfId="512" totalsRowDxfId="511">
      <totalsRowFormula>SUM(C48:C50)</totalsRowFormula>
    </tableColumn>
    <tableColumn id="3" xr3:uid="{00000000-0010-0000-0300-000003000000}" name="Colonne2" totalsRowFunction="custom" headerRowDxfId="510" dataDxfId="509" totalsRowDxfId="508">
      <totalsRowFormula>SUM(D48:D50)</totalsRowFormula>
    </tableColumn>
    <tableColumn id="4" xr3:uid="{00000000-0010-0000-0300-000004000000}" name="Colonne3" totalsRowFunction="custom" headerRowDxfId="507" dataDxfId="506" totalsRowDxfId="505">
      <totalsRowFormula>SUM(E48:E50)</totalsRowFormula>
    </tableColumn>
    <tableColumn id="5" xr3:uid="{00000000-0010-0000-0300-000005000000}" name="Colonne4" totalsRowFunction="custom" headerRowDxfId="504" dataDxfId="503" totalsRowDxfId="502">
      <totalsRowFormula>SUM(F48:F50)</totalsRowFormula>
    </tableColumn>
    <tableColumn id="6" xr3:uid="{00000000-0010-0000-0300-000006000000}" name="Colonne5" totalsRowFunction="custom" headerRowDxfId="501" dataDxfId="500" totalsRowDxfId="499">
      <totalsRowFormula>SUM(G48:G50)</totalsRowFormula>
    </tableColumn>
    <tableColumn id="7" xr3:uid="{00000000-0010-0000-0300-000007000000}" name="Colonne6" totalsRowFunction="custom" headerRowDxfId="498" dataDxfId="497" totalsRowDxfId="496">
      <totalsRowFormula>SUM(H48:H50)</totalsRowFormula>
    </tableColumn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currentassets" displayName="currentassets" ref="B6:H9" headerRowCount="0" totalsRowCount="1" headerRowDxfId="495" dataDxfId="494" totalsRowDxfId="493">
  <sortState xmlns:xlrd2="http://schemas.microsoft.com/office/spreadsheetml/2017/richdata2" ref="B6:H8">
    <sortCondition descending="1" ref="C5:C8"/>
  </sortState>
  <tableColumns count="7">
    <tableColumn id="1" xr3:uid="{00000000-0010-0000-0500-000001000000}" name="Actifs" totalsRowLabel="Total liquidité" headerRowDxfId="492" dataDxfId="491" totalsRowDxfId="490"/>
    <tableColumn id="2" xr3:uid="{00000000-0010-0000-0500-000002000000}" name="Colonne1" totalsRowFunction="custom" headerRowDxfId="489" dataDxfId="488" totalsRowDxfId="487">
      <totalsRowFormula>SUM(C6:C8)</totalsRowFormula>
    </tableColumn>
    <tableColumn id="3" xr3:uid="{00000000-0010-0000-0500-000003000000}" name="Colonne2" totalsRowFunction="custom" headerRowDxfId="486" dataDxfId="485" totalsRowDxfId="484">
      <totalsRowFormula>SUM(D6:D8)</totalsRowFormula>
    </tableColumn>
    <tableColumn id="6" xr3:uid="{00000000-0010-0000-0500-000006000000}" name="Colonne3" totalsRowFunction="custom" headerRowDxfId="483" dataDxfId="482" totalsRowDxfId="481">
      <totalsRowFormula>SUM(E6:E8)</totalsRowFormula>
    </tableColumn>
    <tableColumn id="7" xr3:uid="{00000000-0010-0000-0500-000007000000}" name="Colonne4" totalsRowFunction="custom" headerRowDxfId="480" dataDxfId="479" totalsRowDxfId="478">
      <totalsRowFormula>SUM(F6:F8)</totalsRowFormula>
    </tableColumn>
    <tableColumn id="8" xr3:uid="{00000000-0010-0000-0500-000008000000}" name="Colonne5" totalsRowFunction="custom" headerRowDxfId="477" dataDxfId="476" totalsRowDxfId="475">
      <totalsRowFormula>SUM(G6:G8)</totalsRowFormula>
    </tableColumn>
    <tableColumn id="9" xr3:uid="{00000000-0010-0000-0500-000009000000}" name="Colonne6" totalsRowFunction="custom" headerRowDxfId="474" dataDxfId="473" totalsRowDxfId="472">
      <totalsRowFormula>SUM(H6:H8)</totalsRow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9C2AF8C-F9B0-4BEB-B75B-BD8974828D71}" name="otherassets8" displayName="otherassets8" ref="B25:H28" headerRowCount="0" totalsRowCount="1" headerRowDxfId="471" dataDxfId="470" totalsRowDxfId="469">
  <tableColumns count="7">
    <tableColumn id="1" xr3:uid="{4BD780FE-4E0C-47C7-8063-96A4E5D77540}" name="Capitaux propres" totalsRowLabel="Total capitaux propres" headerRowDxfId="468" dataDxfId="467" totalsRowDxfId="466"/>
    <tableColumn id="2" xr3:uid="{0C23648D-6ED5-4156-B1B5-BB88CA34C20D}" name="Colonne1" totalsRowFunction="custom" headerRowDxfId="465" dataDxfId="464" totalsRowDxfId="463">
      <totalsRowFormula>SUM(C25:C27)</totalsRowFormula>
    </tableColumn>
    <tableColumn id="3" xr3:uid="{97DBCC03-B035-49D8-B825-A879AF8DC208}" name="Colonne2" totalsRowFunction="custom" headerRowDxfId="462" dataDxfId="461" totalsRowDxfId="460">
      <totalsRowFormula>SUM(D25:D27)</totalsRowFormula>
    </tableColumn>
    <tableColumn id="4" xr3:uid="{055DFA64-0BFB-455B-B5F4-8C30C882174B}" name="Colonne3" totalsRowFunction="custom" headerRowDxfId="459" dataDxfId="458" totalsRowDxfId="457">
      <totalsRowFormula>SUM(E25:E27)</totalsRowFormula>
    </tableColumn>
    <tableColumn id="5" xr3:uid="{ADF335E1-2659-45D6-AE26-5DA15BFB4213}" name="Colonne4" totalsRowFunction="custom" headerRowDxfId="456" dataDxfId="455" totalsRowDxfId="454">
      <totalsRowFormula>SUM(F25:F27)</totalsRowFormula>
    </tableColumn>
    <tableColumn id="6" xr3:uid="{930D9E54-5334-4AED-958E-8EF3EDB9642C}" name="Colonne5" totalsRowFunction="custom" headerRowDxfId="453" dataDxfId="452" totalsRowDxfId="451">
      <totalsRowFormula>SUM(G25:G27)</totalsRowFormula>
    </tableColumn>
    <tableColumn id="7" xr3:uid="{BAAE18A3-C756-4058-AA48-7F2EF4BCF841}" name="Colonne6" totalsRowFunction="custom" headerRowDxfId="450" dataDxfId="449" totalsRowDxfId="448">
      <totalsRowFormula>SUM(H25:H27)</totalsRow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97299D1-3581-4B60-88CB-AB10CA48ED14}" name="fixedassets9" displayName="fixedassets9" ref="B12:H16" headerRowCount="0" totalsRowCount="1" headerRowDxfId="447" dataDxfId="446" totalsRowDxfId="445">
  <sortState xmlns:xlrd2="http://schemas.microsoft.com/office/spreadsheetml/2017/richdata2" ref="B12:H15">
    <sortCondition ref="C11:C15"/>
  </sortState>
  <tableColumns count="7">
    <tableColumn id="1" xr3:uid="{5821D548-F35A-44C8-9742-BB3D594AC1EC}" name="Épargnes et placement" totalsRowLabel="Total épargnes et placements" headerRowDxfId="444" dataDxfId="443" totalsRowDxfId="442"/>
    <tableColumn id="2" xr3:uid="{B052F95B-32E4-4C57-AEA5-64507135A0B6}" name="Colonne1" totalsRowFunction="custom" headerRowDxfId="441" dataDxfId="440" totalsRowDxfId="439">
      <totalsRowFormula>SUM(C12:C15)</totalsRowFormula>
    </tableColumn>
    <tableColumn id="3" xr3:uid="{2856809E-0B68-4EB7-87B0-7788496DD220}" name="Colonne2" totalsRowFunction="custom" headerRowDxfId="438" dataDxfId="437" totalsRowDxfId="436">
      <totalsRowFormula>SUM(D12:D15)</totalsRowFormula>
    </tableColumn>
    <tableColumn id="4" xr3:uid="{636F25A2-5A3B-4009-AAAC-F8F4E68D0849}" name="Colonne3" totalsRowFunction="custom" headerRowDxfId="435" dataDxfId="434" totalsRowDxfId="433">
      <totalsRowFormula>SUM(E12:E15)</totalsRowFormula>
    </tableColumn>
    <tableColumn id="5" xr3:uid="{73D949A9-4E14-4987-8665-BB7E45E29957}" name="Colonne4" totalsRowFunction="custom" headerRowDxfId="432" dataDxfId="431" totalsRowDxfId="430">
      <totalsRowFormula>SUM(F12:F15)</totalsRowFormula>
    </tableColumn>
    <tableColumn id="6" xr3:uid="{12033C38-B04F-4FE2-8391-3F6BD4D93309}" name="Colonne5" totalsRowFunction="custom" headerRowDxfId="429" dataDxfId="428" totalsRowDxfId="427">
      <totalsRowFormula>SUM(G12:G15)</totalsRowFormula>
    </tableColumn>
    <tableColumn id="7" xr3:uid="{DB5D7D0C-69A4-485E-AB94-09094FB70751}" name="Colonne6" totalsRowFunction="custom" headerRowDxfId="426" dataDxfId="425" totalsRowDxfId="424">
      <totalsRowFormula>SUM(H12:H15)</totalsRow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611376-54BF-485C-96A6-9B8949BC5C45}" name="fixedassets7" displayName="fixedassets7" ref="B20:H23" headerRowCount="0" totalsRowCount="1" headerRowDxfId="423" totalsRowDxfId="421" headerRowBorderDxfId="422">
  <tableColumns count="7">
    <tableColumn id="1" xr3:uid="{755942E7-AEB6-40AF-996B-6FE8811E752E}" name="Actifs" totalsRowLabel="Total immobilisations" headerRowDxfId="420" dataDxfId="419" totalsRowDxfId="418"/>
    <tableColumn id="2" xr3:uid="{33354F54-4050-4E5A-A910-74FECBCEB2A6}" name="Colonne1" totalsRowFunction="custom" headerRowDxfId="417" dataDxfId="416" totalsRowDxfId="415">
      <totalsRowFormula>SUM(C20:C22)</totalsRowFormula>
    </tableColumn>
    <tableColumn id="3" xr3:uid="{201B042B-FE9B-43AB-8F9B-A1DC462ADF2C}" name="Colonne2" totalsRowFunction="custom" headerRowDxfId="414" dataDxfId="413" totalsRowDxfId="412">
      <totalsRowFormula>SUM(D20:D22)</totalsRowFormula>
    </tableColumn>
    <tableColumn id="4" xr3:uid="{0B6948E6-F2A7-464B-8B3B-3E7AE7FE87B3}" name="Colonne3" totalsRowFunction="custom" headerRowDxfId="411" dataDxfId="410" totalsRowDxfId="409">
      <totalsRowFormula>SUM(E20:E22)</totalsRowFormula>
    </tableColumn>
    <tableColumn id="5" xr3:uid="{AFEA08A3-31A2-429A-8682-6B16E1850FCF}" name="Colonne4" totalsRowFunction="custom" headerRowDxfId="408" dataDxfId="407" totalsRowDxfId="406">
      <totalsRowFormula>SUM(F20:F22)</totalsRowFormula>
    </tableColumn>
    <tableColumn id="6" xr3:uid="{1A9D8266-0F46-42D2-8274-71343E7C8E59}" name="Colonne5" totalsRowFunction="custom" headerRowDxfId="405" dataDxfId="404" totalsRowDxfId="403">
      <totalsRowFormula>SUM(G20:G22)</totalsRowFormula>
    </tableColumn>
    <tableColumn id="7" xr3:uid="{5B139553-0EA3-4FCC-99BD-6FB0EAF3A6B0}" name="Colonne6" totalsRowFunction="custom" headerRowDxfId="402" dataDxfId="401" totalsRowDxfId="400">
      <totalsRowFormula>SUM(H20:H22)</totalsRow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D5EE61-0282-48C2-9583-5A6599B6573D}" name="otherassets10" displayName="otherassets10" ref="B32:H35" headerRowCount="0" totalsRowCount="1" headerRowDxfId="399" totalsRowDxfId="398">
  <tableColumns count="7">
    <tableColumn id="1" xr3:uid="{381399D7-1992-4A55-B9EC-54AF8F00DEA7}" name="Autres actifs :" totalsRowLabel="Total autres actifs" headerRowDxfId="397" dataDxfId="396" totalsRowDxfId="395"/>
    <tableColumn id="2" xr3:uid="{AA9FC95E-4670-4032-A281-8589473DD6F2}" name="Colonne1" totalsRowFunction="custom" headerRowDxfId="394" dataDxfId="393" totalsRowDxfId="392">
      <totalsRowFormula>SUM(C32:C34)</totalsRowFormula>
    </tableColumn>
    <tableColumn id="3" xr3:uid="{2DD88933-C247-4191-9844-27036F14C888}" name="Colonne2" totalsRowFunction="custom" headerRowDxfId="391" dataDxfId="390" totalsRowDxfId="389">
      <totalsRowFormula>SUM(D32:D34)</totalsRowFormula>
    </tableColumn>
    <tableColumn id="4" xr3:uid="{615F5DB9-1D09-4819-883C-4BE5955F1C11}" name="Colonne3" totalsRowFunction="custom" headerRowDxfId="388" dataDxfId="387" totalsRowDxfId="386">
      <totalsRowFormula>SUM(E32:E34)</totalsRowFormula>
    </tableColumn>
    <tableColumn id="5" xr3:uid="{F33444BC-45D8-460A-8DCD-BD29FC5251D8}" name="Colonne4" totalsRowFunction="custom" headerRowDxfId="385" dataDxfId="384" totalsRowDxfId="383">
      <totalsRowFormula>SUM(F32:F34)</totalsRowFormula>
    </tableColumn>
    <tableColumn id="6" xr3:uid="{79D5F8D9-C15C-4644-8CA9-F5BFF34F4ACB}" name="Colonne5" totalsRowFunction="custom" headerRowDxfId="382" dataDxfId="381" totalsRowDxfId="380">
      <totalsRowFormula>SUM(G32:G34)</totalsRowFormula>
    </tableColumn>
    <tableColumn id="7" xr3:uid="{4F7A7A50-1784-4365-94F4-AA404019ED1D}" name="Colonne6" totalsRowFunction="custom" headerRowDxfId="379" dataDxfId="378" totalsRowDxfId="377">
      <totalsRowFormula>SUM(H32:H34)</totalsRow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8DDDCC3-FA32-4B3A-911B-1FB56FB2376A}" name="currentliabilities11" displayName="currentliabilities11" ref="B41:H46" headerRowCount="0" totalsRowCount="1" headerRowDxfId="376" totalsRowDxfId="375">
  <tableColumns count="7">
    <tableColumn id="1" xr3:uid="{74E783C8-CE9F-4487-AC5B-00CE9E5118EA}" name="Passif exigible :" totalsRowLabel="Total du passif court terme" headerRowDxfId="374" dataDxfId="373" totalsRowDxfId="372"/>
    <tableColumn id="2" xr3:uid="{71DD9C93-1035-4242-88E4-6717741DF9F2}" name="Colonne1" totalsRowFunction="custom" headerRowDxfId="371" dataDxfId="370" totalsRowDxfId="369">
      <totalsRowFormula>SUM(C41:C45)</totalsRowFormula>
    </tableColumn>
    <tableColumn id="3" xr3:uid="{7A171FD4-DAF7-4C71-B0C7-66B8799AE449}" name="Colonne2" totalsRowFunction="custom" headerRowDxfId="368" dataDxfId="367" totalsRowDxfId="366">
      <totalsRowFormula>SUM(D41:D45)</totalsRowFormula>
    </tableColumn>
    <tableColumn id="4" xr3:uid="{32A533CA-EE58-4FDE-801F-C02A80BA2354}" name="Colonne3" totalsRowFunction="custom" headerRowDxfId="365" dataDxfId="364" totalsRowDxfId="363">
      <totalsRowFormula>SUM(E41:E45)</totalsRowFormula>
    </tableColumn>
    <tableColumn id="5" xr3:uid="{EC81A858-BAE9-483B-A0E7-D9DAAD0DE6C7}" name="Colonne4" totalsRowFunction="custom" headerRowDxfId="362" dataDxfId="361" totalsRowDxfId="360">
      <totalsRowFormula>SUM(F41:F45)</totalsRowFormula>
    </tableColumn>
    <tableColumn id="6" xr3:uid="{688F9CC1-7958-41B9-A31C-70A255F214CF}" name="Colonne5" totalsRowFunction="custom" headerRowDxfId="359" dataDxfId="358" totalsRowDxfId="357">
      <totalsRowFormula>SUM(G41:G45)</totalsRowFormula>
    </tableColumn>
    <tableColumn id="7" xr3:uid="{961F3D99-5FC2-4EA1-8E10-6AFEE94D01EF}" name="Colonne6" totalsRowFunction="custom" headerRowDxfId="356" dataDxfId="355" totalsRowDxfId="354">
      <totalsRowFormula>SUM(H41:H45)</totalsRowFormula>
    </tableColumn>
  </tableColumns>
  <tableStyleInfo name="TableStyleMedium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789140C-E8C7-41E5-99F6-F8DB584893DC}" name="longtermliabilities12" displayName="longtermliabilities12" ref="B49:H52" headerRowCount="0" totalsRowCount="1" headerRowDxfId="353" totalsRowDxfId="352">
  <tableColumns count="7">
    <tableColumn id="1" xr3:uid="{49BE6336-ABAD-4010-94AB-559B87A43460}" name="Dettes à long terme :" totalsRowLabel="Total dettes à long terme" headerRowDxfId="351" dataDxfId="350" totalsRowDxfId="349"/>
    <tableColumn id="2" xr3:uid="{69F00798-ADE4-4974-89E5-66CBF99F4A17}" name="Colonne1" totalsRowFunction="custom" headerRowDxfId="348" dataDxfId="347" totalsRowDxfId="346">
      <totalsRowFormula>SUM(C49:C51)</totalsRowFormula>
    </tableColumn>
    <tableColumn id="3" xr3:uid="{772DF411-AAFD-4753-BE9D-248EB6B3D987}" name="Colonne2" totalsRowFunction="custom" headerRowDxfId="345" dataDxfId="344" totalsRowDxfId="343">
      <totalsRowFormula>SUM(D49:D51)</totalsRowFormula>
    </tableColumn>
    <tableColumn id="4" xr3:uid="{52BFBB62-C7CD-411A-B51F-CFBA6EE2F3E1}" name="Colonne3" totalsRowFunction="custom" headerRowDxfId="342" dataDxfId="341" totalsRowDxfId="340">
      <totalsRowFormula>SUM(E49:E51)</totalsRowFormula>
    </tableColumn>
    <tableColumn id="5" xr3:uid="{81BA03DE-2CC5-4215-9BF9-8DF7EB2DA52B}" name="Colonne4" totalsRowFunction="custom" headerRowDxfId="339" dataDxfId="338" totalsRowDxfId="337">
      <totalsRowFormula>SUM(F49:F51)</totalsRowFormula>
    </tableColumn>
    <tableColumn id="6" xr3:uid="{3A128CAD-07DB-4357-BA61-5F9DABA79B6A}" name="Colonne5" totalsRowFunction="custom" headerRowDxfId="336" dataDxfId="335" totalsRowDxfId="334">
      <totalsRowFormula>SUM(G49:G51)</totalsRowFormula>
    </tableColumn>
    <tableColumn id="7" xr3:uid="{0420C530-BF14-417B-B44B-7756A7BD642C}" name="Colonne6" totalsRowFunction="custom" headerRowDxfId="333" dataDxfId="332" totalsRowDxfId="331">
      <totalsRowFormula>SUM(H49:H51)</totalsRowFormula>
    </tableColumn>
  </tableColumns>
  <tableStyleInfo name="TableStyleMedium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AB4F79-36B6-496F-9CDD-F773C88FD642}" name="currentassets13" displayName="currentassets13" ref="B6:H9" headerRowCount="0" totalsRowCount="1" headerRowDxfId="330" totalsRowDxfId="329">
  <sortState xmlns:xlrd2="http://schemas.microsoft.com/office/spreadsheetml/2017/richdata2" ref="B6:H8">
    <sortCondition descending="1" ref="C5:C8"/>
  </sortState>
  <tableColumns count="7">
    <tableColumn id="1" xr3:uid="{9743D835-C930-4C6D-AA24-A399339843E9}" name="Actifs" totalsRowLabel="Total liquidité" headerRowDxfId="328" dataDxfId="327" totalsRowDxfId="326"/>
    <tableColumn id="2" xr3:uid="{EBF67855-07E1-4300-BDC2-5BF51882FACF}" name="Colonne1" totalsRowFunction="custom" headerRowDxfId="325" dataDxfId="324" totalsRowDxfId="323">
      <totalsRowFormula>SUM(C6:C8)</totalsRowFormula>
    </tableColumn>
    <tableColumn id="3" xr3:uid="{CBDE718E-3CBA-444C-9BC7-6E9755881E49}" name="Colonne2" totalsRowFunction="custom" headerRowDxfId="322" dataDxfId="321" totalsRowDxfId="320">
      <totalsRowFormula>SUM(D6:D8)</totalsRowFormula>
    </tableColumn>
    <tableColumn id="6" xr3:uid="{41A216E9-ED56-4B7D-A9C2-738492184F0B}" name="Colonne3" totalsRowFunction="custom" headerRowDxfId="319" dataDxfId="318" totalsRowDxfId="317">
      <totalsRowFormula>SUM(E6:E8)</totalsRowFormula>
    </tableColumn>
    <tableColumn id="7" xr3:uid="{47540607-BF3F-4B4D-A869-6CFEE0E42C33}" name="Colonne4" totalsRowFunction="custom" headerRowDxfId="316" dataDxfId="315" totalsRowDxfId="314">
      <totalsRowFormula>SUM(F6:F8)</totalsRowFormula>
    </tableColumn>
    <tableColumn id="8" xr3:uid="{6F129AF0-AEF7-4D5D-88CA-B0B7AB47CD3E}" name="Colonne5" totalsRowFunction="custom" headerRowDxfId="313" dataDxfId="312" totalsRowDxfId="311">
      <totalsRowFormula>SUM(G6:G8)</totalsRowFormula>
    </tableColumn>
    <tableColumn id="9" xr3:uid="{B83ECA26-D659-4864-BBBA-2A9B7A11ECFE}" name="Colonne6" totalsRowFunction="custom" headerRowDxfId="310" dataDxfId="309" totalsRowDxfId="308">
      <totalsRowFormula>SUM(H6:H8)</totalsRow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993EC50-363E-4983-B20C-410959D9A625}" name="otherassets814" displayName="otherassets814" ref="B26:H29" headerRowCount="0" totalsRowCount="1" headerRowDxfId="307" totalsRowDxfId="306">
  <tableColumns count="7">
    <tableColumn id="1" xr3:uid="{8614B3D9-2C17-4A69-BA7E-2A349082FFCE}" name="Capitaux propres" totalsRowLabel="Total capitaux propres" headerRowDxfId="305" dataDxfId="304" totalsRowDxfId="303">
      <calculatedColumnFormula>+#REF!</calculatedColumnFormula>
    </tableColumn>
    <tableColumn id="2" xr3:uid="{593722EA-8FAF-4844-A7CA-7606B9581857}" name="Colonne1" totalsRowFunction="custom" headerRowDxfId="302" dataDxfId="301" totalsRowDxfId="300">
      <totalsRowFormula>SUM(C26:C28)</totalsRowFormula>
    </tableColumn>
    <tableColumn id="3" xr3:uid="{AAAC06EE-E36E-445D-A167-EC5D0CF280D6}" name="Colonne2" totalsRowFunction="custom" headerRowDxfId="299" dataDxfId="298" totalsRowDxfId="297">
      <totalsRowFormula>SUM(D26:D28)</totalsRowFormula>
    </tableColumn>
    <tableColumn id="4" xr3:uid="{67991122-68E4-4C29-B2D2-8EEBF692A9C1}" name="Colonne3" totalsRowFunction="custom" headerRowDxfId="296" dataDxfId="295" totalsRowDxfId="294">
      <totalsRowFormula>SUM(E26:E28)</totalsRowFormula>
    </tableColumn>
    <tableColumn id="5" xr3:uid="{F23AAE92-0AA5-4828-A36D-260308A742FE}" name="Colonne4" totalsRowFunction="custom" headerRowDxfId="293" dataDxfId="292" totalsRowDxfId="291">
      <totalsRowFormula>SUM(F26:F28)</totalsRowFormula>
    </tableColumn>
    <tableColumn id="6" xr3:uid="{DA297956-F7C9-4BD1-95A7-05139BFDA35D}" name="Colonne5" totalsRowFunction="custom" headerRowDxfId="290" dataDxfId="289" totalsRowDxfId="288">
      <totalsRowFormula>SUM(G26:G28)</totalsRowFormula>
    </tableColumn>
    <tableColumn id="7" xr3:uid="{DC5B9000-445B-4101-B789-9008DA80E31A}" name="Colonne6" totalsRowFunction="custom" headerRowDxfId="287" dataDxfId="286" totalsRowDxfId="285">
      <totalsRowFormula>SUM(H26:H28)</totalsRow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4F36936-26DF-48A3-B97A-C2779F3F519C}" name="fixedassets915" displayName="fixedassets915" ref="B12:H17" headerRowCount="0" totalsRowCount="1" headerRowDxfId="284" totalsRowDxfId="283">
  <sortState xmlns:xlrd2="http://schemas.microsoft.com/office/spreadsheetml/2017/richdata2" ref="B12:H16">
    <sortCondition ref="C11:C16"/>
  </sortState>
  <tableColumns count="7">
    <tableColumn id="1" xr3:uid="{090E0B18-224B-4795-B7F4-E34F083AAAF4}" name="Épargnes et placement" totalsRowLabel="Total épargnes et placements" headerRowDxfId="282" dataDxfId="281" totalsRowDxfId="280"/>
    <tableColumn id="2" xr3:uid="{BFC8B627-563D-4CF8-9F2B-360D4B5CFBF1}" name="Colonne1" totalsRowFunction="custom" headerRowDxfId="279" dataDxfId="278" totalsRowDxfId="277">
      <totalsRowFormula>SUM(C12:C16)</totalsRowFormula>
    </tableColumn>
    <tableColumn id="3" xr3:uid="{0A4D397C-984C-4E59-A2AD-557CFB81082C}" name="Colonne2" totalsRowFunction="custom" headerRowDxfId="276" dataDxfId="275" totalsRowDxfId="274">
      <totalsRowFormula>SUM(D12:D16)</totalsRowFormula>
    </tableColumn>
    <tableColumn id="4" xr3:uid="{D831D6AE-FC30-4630-B6F8-E66F351D0B89}" name="Colonne3" totalsRowFunction="custom" headerRowDxfId="273" dataDxfId="272" totalsRowDxfId="271">
      <totalsRowFormula>SUM(E12:E16)</totalsRowFormula>
    </tableColumn>
    <tableColumn id="5" xr3:uid="{A94C3CA7-4DCC-4E22-9C34-1AD7739D4DDE}" name="Colonne4" totalsRowFunction="custom" headerRowDxfId="270" dataDxfId="269" totalsRowDxfId="268">
      <totalsRowFormula>SUM(F12:F16)</totalsRowFormula>
    </tableColumn>
    <tableColumn id="6" xr3:uid="{54B36F59-3C38-4785-9B68-B341340B18D4}" name="Colonne5" totalsRowFunction="custom" headerRowDxfId="267" dataDxfId="266" totalsRowDxfId="265">
      <totalsRowFormula>SUM(G12:G16)</totalsRowFormula>
    </tableColumn>
    <tableColumn id="7" xr3:uid="{4516B908-3601-4D18-92B1-34369065732C}" name="Colonne6" totalsRowFunction="custom" headerRowDxfId="264" dataDxfId="263" totalsRowDxfId="262">
      <totalsRowFormula>SUM(H12:H16)</totalsRow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B63FA1E-C943-42D1-8D19-9B698BFB21EC}" name="fixedassets716" displayName="fixedassets716" ref="B20:H23" headerRowCount="0" totalsRowCount="1" headerRowDxfId="261" totalsRowDxfId="259" headerRowBorderDxfId="260">
  <tableColumns count="7">
    <tableColumn id="1" xr3:uid="{4BE694C8-5DC5-4189-9FB9-04EF211FCED2}" name="Actifs" totalsRowLabel="Total immobilisations" headerRowDxfId="258" dataDxfId="257" totalsRowDxfId="256"/>
    <tableColumn id="2" xr3:uid="{C83D0A73-80DA-4120-AE1D-0E8AA350DEF3}" name="Colonne1" totalsRowFunction="custom" headerRowDxfId="255" dataDxfId="254" totalsRowDxfId="253">
      <totalsRowFormula>SUM(C20:C22)</totalsRowFormula>
    </tableColumn>
    <tableColumn id="3" xr3:uid="{4E6E3745-4E94-4CCA-8C31-73B0F6EA5873}" name="Colonne2" totalsRowFunction="custom" headerRowDxfId="252" dataDxfId="251" totalsRowDxfId="250">
      <totalsRowFormula>SUM(D20:D22)</totalsRowFormula>
    </tableColumn>
    <tableColumn id="4" xr3:uid="{594F70AB-0C4F-4F58-9A64-DE3C97FB2659}" name="Colonne3" totalsRowFunction="custom" headerRowDxfId="249" dataDxfId="248" totalsRowDxfId="247">
      <totalsRowFormula>SUM(E20:E22)</totalsRowFormula>
    </tableColumn>
    <tableColumn id="5" xr3:uid="{8AFA9D66-A45F-457A-A6A9-127164144C75}" name="Colonne4" totalsRowFunction="custom" headerRowDxfId="246" dataDxfId="245" totalsRowDxfId="244">
      <totalsRowFormula>SUM(F20:F22)</totalsRowFormula>
    </tableColumn>
    <tableColumn id="6" xr3:uid="{4A237CEA-0D94-489D-B142-6BF1F8BD4996}" name="Colonne5" totalsRowFunction="custom" headerRowDxfId="243" dataDxfId="242" totalsRowDxfId="241">
      <totalsRowFormula>SUM(G20:G22)</totalsRowFormula>
    </tableColumn>
    <tableColumn id="7" xr3:uid="{192EFB73-043C-4641-827D-3F8EC71F9D7C}" name="Colonne6" totalsRowFunction="custom" headerRowDxfId="240" dataDxfId="239" totalsRowDxfId="238">
      <totalsRowFormula>SUM(H20:H22)</totalsRow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21110A9-7ABC-4E7D-BED6-84F4F2A680B0}" name="otherassets1017" displayName="otherassets1017" ref="B32:H35" headerRowCount="0" totalsRowCount="1" headerRowDxfId="237" totalsRowDxfId="236">
  <tableColumns count="7">
    <tableColumn id="1" xr3:uid="{33A20586-56F8-402E-9FB7-A1474B3F67F2}" name="Autres actifs :" totalsRowLabel="Total autres actifs" headerRowDxfId="235" dataDxfId="234" totalsRowDxfId="233"/>
    <tableColumn id="2" xr3:uid="{A5385967-F3F6-4EC3-9700-DACE75116EA5}" name="Colonne1" totalsRowFunction="custom" headerRowDxfId="232" dataDxfId="231" totalsRowDxfId="230">
      <totalsRowFormula>SUM(C32:C34)</totalsRowFormula>
    </tableColumn>
    <tableColumn id="3" xr3:uid="{28F83551-06B2-4FA7-90B2-20E66143CE8A}" name="Colonne2" totalsRowFunction="custom" headerRowDxfId="229" dataDxfId="228" totalsRowDxfId="227">
      <totalsRowFormula>SUM(D32:D34)</totalsRowFormula>
    </tableColumn>
    <tableColumn id="4" xr3:uid="{38845F9B-F76E-499F-9E7B-6853456EEADC}" name="Colonne3" totalsRowFunction="custom" headerRowDxfId="226" dataDxfId="225" totalsRowDxfId="224">
      <totalsRowFormula>SUM(E32:E34)</totalsRowFormula>
    </tableColumn>
    <tableColumn id="5" xr3:uid="{36213096-E30B-4996-A50C-CAF53C686F75}" name="Colonne4" totalsRowFunction="custom" headerRowDxfId="223" dataDxfId="222" totalsRowDxfId="221">
      <totalsRowFormula>SUM(F32:F34)</totalsRowFormula>
    </tableColumn>
    <tableColumn id="6" xr3:uid="{ADA8A672-7DDE-48F2-B7B4-E122F8121F08}" name="Colonne5" totalsRowFunction="custom" headerRowDxfId="220" dataDxfId="219" totalsRowDxfId="218">
      <totalsRowFormula>SUM(G32:G34)</totalsRowFormula>
    </tableColumn>
    <tableColumn id="7" xr3:uid="{46C89542-DB33-4412-A765-75AE06001419}" name="Colonne6" totalsRowFunction="custom" headerRowDxfId="217" dataDxfId="216" totalsRowDxfId="215">
      <totalsRowFormula>SUM(H32:H34)</totalsRowFormula>
    </tableColumn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77C5B2D-C57C-4ED2-9D9F-4839F9F343E0}" name="currentliabilities1118" displayName="currentliabilities1118" ref="B41:H46" headerRowCount="0" totalsRowCount="1" headerRowDxfId="214" totalsRowDxfId="213">
  <tableColumns count="7">
    <tableColumn id="1" xr3:uid="{9717AA78-0E61-4ECC-92F8-7E1544CA3E1E}" name="Passif exigible :" totalsRowLabel="Total du passif court terme" headerRowDxfId="212" dataDxfId="211" totalsRowDxfId="210"/>
    <tableColumn id="2" xr3:uid="{0220E7FD-38BA-4E6F-BE68-FADB94B4CE39}" name="Colonne1" totalsRowFunction="custom" headerRowDxfId="209" dataDxfId="208" totalsRowDxfId="207">
      <totalsRowFormula>SUM(C41:C45)</totalsRowFormula>
    </tableColumn>
    <tableColumn id="3" xr3:uid="{EF042334-D391-4C3D-8D49-15B642DEC9B7}" name="Colonne2" totalsRowFunction="custom" headerRowDxfId="206" dataDxfId="205" totalsRowDxfId="204">
      <totalsRowFormula>SUM(D41:D45)</totalsRowFormula>
    </tableColumn>
    <tableColumn id="4" xr3:uid="{3D473DB9-F853-4A44-A94C-B961255BC315}" name="Colonne3" totalsRowFunction="custom" headerRowDxfId="203" dataDxfId="202" totalsRowDxfId="201">
      <totalsRowFormula>SUM(E41:E45)</totalsRowFormula>
    </tableColumn>
    <tableColumn id="5" xr3:uid="{6C50C331-3FA4-4DE9-9894-D8824F600511}" name="Colonne4" totalsRowFunction="custom" headerRowDxfId="200" dataDxfId="199" totalsRowDxfId="198">
      <totalsRowFormula>SUM(F41:F45)</totalsRowFormula>
    </tableColumn>
    <tableColumn id="6" xr3:uid="{06CB964D-D63E-4FB8-A808-A747AB78AB10}" name="Colonne5" totalsRowFunction="custom" headerRowDxfId="197" dataDxfId="196" totalsRowDxfId="195">
      <totalsRowFormula>SUM(G41:G45)</totalsRowFormula>
    </tableColumn>
    <tableColumn id="7" xr3:uid="{6E2D64DA-E9A2-4E60-9868-E963299C0CD6}" name="Colonne6" totalsRowFunction="custom" headerRowDxfId="194" dataDxfId="193" totalsRowDxfId="192">
      <totalsRowFormula>SUM(H41:H45)</totalsRowFormula>
    </tableColumn>
  </tableColumns>
  <tableStyleInfo name="TableStyleMedium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E98339C-42F4-4D49-ADA4-CA7A0E290605}" name="longtermliabilities1220" displayName="longtermliabilities1220" ref="B49:H52" headerRowCount="0" totalsRowCount="1" headerRowDxfId="191" totalsRowDxfId="190">
  <tableColumns count="7">
    <tableColumn id="1" xr3:uid="{92DA3F97-1E76-4BC6-B520-813188AC05AD}" name="Dettes à long terme :" totalsRowLabel="Total dettes à long terme" headerRowDxfId="189" dataDxfId="188" totalsRowDxfId="187"/>
    <tableColumn id="2" xr3:uid="{258E2338-3ED1-45CB-A5B0-3DC5DA54C88F}" name="Colonne1" totalsRowFunction="custom" headerRowDxfId="186" dataDxfId="185" totalsRowDxfId="184">
      <totalsRowFormula>SUM(C49:C51)</totalsRowFormula>
    </tableColumn>
    <tableColumn id="3" xr3:uid="{30084C49-9CBF-4B1C-8075-656C3E74F0A2}" name="Colonne2" totalsRowFunction="custom" headerRowDxfId="183" dataDxfId="182" totalsRowDxfId="181">
      <totalsRowFormula>SUM(D49:D51)</totalsRowFormula>
    </tableColumn>
    <tableColumn id="4" xr3:uid="{3298BDAE-492B-49FB-B0AD-7C8B6E96ED49}" name="Colonne3" totalsRowFunction="custom" headerRowDxfId="180" dataDxfId="179" totalsRowDxfId="178">
      <totalsRowFormula>SUM(E49:E51)</totalsRowFormula>
    </tableColumn>
    <tableColumn id="5" xr3:uid="{33D33C19-2992-4A4B-9C5F-932FA689B7D9}" name="Colonne4" totalsRowFunction="custom" headerRowDxfId="177" dataDxfId="176" totalsRowDxfId="175">
      <totalsRowFormula>SUM(F49:F51)</totalsRowFormula>
    </tableColumn>
    <tableColumn id="6" xr3:uid="{E564EB65-9775-4720-A19F-76FE24B3F360}" name="Colonne5" totalsRowFunction="custom" headerRowDxfId="174" dataDxfId="173" totalsRowDxfId="172">
      <totalsRowFormula>SUM(G49:G51)</totalsRowFormula>
    </tableColumn>
    <tableColumn id="7" xr3:uid="{1FCB1333-A8A0-4F32-87FC-F6E3D8D2DECE}" name="Colonne6" totalsRowFunction="custom" headerRowDxfId="171" dataDxfId="170" totalsRowDxfId="169">
      <totalsRowFormula>SUM(H49:H51)</totalsRowFormula>
    </tableColumn>
  </tableColumns>
  <tableStyleInfo name="TableStyleMedium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46D8378-646C-4294-A3BB-D15102386C5F}" name="currentassets1321" displayName="currentassets1321" ref="B6:H9" headerRowCount="0" totalsRowCount="1" headerRowDxfId="168" totalsRowDxfId="167">
  <sortState xmlns:xlrd2="http://schemas.microsoft.com/office/spreadsheetml/2017/richdata2" ref="B6:H8">
    <sortCondition descending="1" ref="C5:C8"/>
  </sortState>
  <tableColumns count="7">
    <tableColumn id="1" xr3:uid="{903C7423-9ACB-46A4-AFBD-07AC043A46B8}" name="Actifs" totalsRowLabel="Total liquidité" headerRowDxfId="166" dataDxfId="165" totalsRowDxfId="164"/>
    <tableColumn id="2" xr3:uid="{AC6A5266-F557-43A2-A5AF-4462FC346C9C}" name="Colonne1" totalsRowFunction="custom" headerRowDxfId="163" dataDxfId="162" totalsRowDxfId="161">
      <totalsRowFormula>SUM(C6:C8)</totalsRowFormula>
    </tableColumn>
    <tableColumn id="3" xr3:uid="{F86990D3-FC9F-4263-85A6-0CF1CDA7A343}" name="Colonne2" totalsRowFunction="custom" headerRowDxfId="160" dataDxfId="159" totalsRowDxfId="158">
      <totalsRowFormula>SUM(D6:D8)</totalsRowFormula>
    </tableColumn>
    <tableColumn id="6" xr3:uid="{F7B47F2A-A7F4-4252-A032-802D4FA6ED19}" name="Colonne3" totalsRowFunction="custom" headerRowDxfId="157" dataDxfId="156" totalsRowDxfId="155">
      <totalsRowFormula>SUM(E6:E8)</totalsRowFormula>
    </tableColumn>
    <tableColumn id="7" xr3:uid="{EB163B90-71AE-481C-A211-4423884AE9FE}" name="Colonne4" totalsRowFunction="custom" headerRowDxfId="154" dataDxfId="153" totalsRowDxfId="152">
      <totalsRowFormula>SUM(F6:F8)</totalsRowFormula>
    </tableColumn>
    <tableColumn id="8" xr3:uid="{FC40E313-F1B0-46F2-8393-EF880E8EA2A3}" name="Colonne5" totalsRowFunction="custom" headerRowDxfId="151" dataDxfId="150" totalsRowDxfId="149">
      <totalsRowFormula>SUM(G6:G8)</totalsRowFormula>
    </tableColumn>
    <tableColumn id="9" xr3:uid="{3A22C889-6F0D-4873-BEA0-03C4FC0B6F3A}" name="Colonne6" totalsRowFunction="custom" headerRowDxfId="148" dataDxfId="147" totalsRowDxfId="146">
      <totalsRowFormula>SUM(H6:H8)</totalsRowFormula>
    </tableColumn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EF59495-223E-42C7-91FA-BE1740137362}" name="otherassets81422" displayName="otherassets81422" ref="B26:H29" headerRowCount="0" totalsRowCount="1" headerRowDxfId="145" totalsRowDxfId="144">
  <tableColumns count="7">
    <tableColumn id="1" xr3:uid="{71D3B992-9043-4A49-9622-43809D1567ED}" name="Capitaux propres" totalsRowLabel="Total capitaux propres" headerRowDxfId="143" dataDxfId="142" totalsRowDxfId="141"/>
    <tableColumn id="2" xr3:uid="{486D6E71-45E7-4241-87C2-8658D7724800}" name="Colonne1" totalsRowFunction="custom" headerRowDxfId="140" dataDxfId="139" totalsRowDxfId="138">
      <totalsRowFormula>SUM(C26:C28)</totalsRowFormula>
    </tableColumn>
    <tableColumn id="3" xr3:uid="{CAA9293D-F446-4DF4-ABAE-60F475D25E9F}" name="Colonne2" totalsRowFunction="custom" headerRowDxfId="137" dataDxfId="136" totalsRowDxfId="135">
      <totalsRowFormula>SUM(D26:D28)</totalsRowFormula>
    </tableColumn>
    <tableColumn id="4" xr3:uid="{32192437-A290-4BB6-AB78-4C666E469B9F}" name="Colonne3" totalsRowFunction="custom" headerRowDxfId="134" dataDxfId="133" totalsRowDxfId="132">
      <totalsRowFormula>SUM(E26:E28)</totalsRowFormula>
    </tableColumn>
    <tableColumn id="5" xr3:uid="{E382B5F9-91D0-42E5-9160-D59C3C7645A3}" name="Colonne4" totalsRowFunction="custom" headerRowDxfId="131" dataDxfId="130" totalsRowDxfId="129">
      <totalsRowFormula>SUM(F26:F28)</totalsRowFormula>
    </tableColumn>
    <tableColumn id="6" xr3:uid="{192C95FE-4876-4EB8-8248-D8A161D7BD26}" name="Colonne5" totalsRowFunction="custom" headerRowDxfId="128" dataDxfId="127" totalsRowDxfId="126">
      <totalsRowFormula>SUM(G26:G28)</totalsRowFormula>
    </tableColumn>
    <tableColumn id="7" xr3:uid="{0CD197F5-7E03-4A61-9622-08B60D356DE8}" name="Colonne6" totalsRowFunction="custom" headerRowDxfId="125" dataDxfId="124" totalsRowDxfId="123">
      <totalsRowFormula>SUM(H26:H28)</totalsRowFormula>
    </tableColumn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B4325E0-37AE-492D-84BA-F546CFBA035D}" name="fixedassets91523" displayName="fixedassets91523" ref="B12:H17" headerRowCount="0" totalsRowCount="1" headerRowDxfId="122" totalsRowDxfId="121">
  <sortState xmlns:xlrd2="http://schemas.microsoft.com/office/spreadsheetml/2017/richdata2" ref="B12:H16">
    <sortCondition ref="C11:C16"/>
  </sortState>
  <tableColumns count="7">
    <tableColumn id="1" xr3:uid="{35EF67C8-760F-44E9-BA2A-AA274A4099A3}" name="Épargnes et placement" totalsRowLabel="Total épargnes et placements" headerRowDxfId="120" dataDxfId="119" totalsRowDxfId="118"/>
    <tableColumn id="2" xr3:uid="{76338936-454D-479C-83B6-5B18C455EEA1}" name="Colonne1" totalsRowFunction="custom" headerRowDxfId="117" dataDxfId="116" totalsRowDxfId="115">
      <totalsRowFormula>SUM(C12:C16)</totalsRowFormula>
    </tableColumn>
    <tableColumn id="3" xr3:uid="{F275939D-5985-4F44-9C50-A709D64AE079}" name="Colonne2" totalsRowFunction="custom" headerRowDxfId="114" dataDxfId="113" totalsRowDxfId="112">
      <totalsRowFormula>SUM(D12:D16)</totalsRowFormula>
    </tableColumn>
    <tableColumn id="4" xr3:uid="{28E22DF6-FDE6-4C15-A1AF-4DB3917837F7}" name="Colonne3" totalsRowFunction="custom" headerRowDxfId="111" dataDxfId="110" totalsRowDxfId="109">
      <totalsRowFormula>SUM(E12:E16)</totalsRowFormula>
    </tableColumn>
    <tableColumn id="5" xr3:uid="{5374D2EA-10C4-40BB-A0ED-E2CD47B7DF63}" name="Colonne4" totalsRowFunction="custom" headerRowDxfId="108" dataDxfId="107" totalsRowDxfId="106">
      <totalsRowFormula>SUM(F12:F16)</totalsRowFormula>
    </tableColumn>
    <tableColumn id="6" xr3:uid="{E4F694E3-F797-4375-8629-62A09BC16CDD}" name="Colonne5" totalsRowFunction="custom" headerRowDxfId="105" dataDxfId="104" totalsRowDxfId="103">
      <totalsRowFormula>SUM(G12:G16)</totalsRowFormula>
    </tableColumn>
    <tableColumn id="7" xr3:uid="{D7148285-112D-4B39-9B76-308528C70D27}" name="Colonne6" totalsRowFunction="custom" headerRowDxfId="102" dataDxfId="101" totalsRowDxfId="100">
      <totalsRowFormula>SUM(H12:H16)</totalsRowFormula>
    </tableColumn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790C492-71EB-4F34-9DD4-849DE63F4AC8}" name="Tableau36" displayName="Tableau36" ref="A5:F377" totalsRowShown="0" headerRowDxfId="99" dataDxfId="98">
  <autoFilter ref="A5:F377" xr:uid="{00000000-0009-0000-0100-000005000000}"/>
  <tableColumns count="6">
    <tableColumn id="1" xr3:uid="{14C2A993-6A04-4801-9F90-769AD57955DA}" name="Période" dataDxfId="97"/>
    <tableColumn id="2" xr3:uid="{1D493E32-1066-4C72-BB50-3E84E13BFAC8}" name="Solde début période" dataDxfId="96">
      <calculatedColumnFormula>F5</calculatedColumnFormula>
    </tableColumn>
    <tableColumn id="3" xr3:uid="{AFA4A5B0-6DB2-4F8D-91BE-F39B2D194FC0}" name="Paiement" dataDxfId="95">
      <calculatedColumnFormula>IF(ROUND(Tableau36[[#This Row],[Solde début période]],2)&lt;=0,0,$D$2)</calculatedColumnFormula>
    </tableColumn>
    <tableColumn id="4" xr3:uid="{FBB1A3D1-48A4-49E8-B45B-8F254F7D6A0D}" name="Intérêt" dataDxfId="94">
      <calculatedColumnFormula>B6*($B$2/12)</calculatedColumnFormula>
    </tableColumn>
    <tableColumn id="5" xr3:uid="{1754178F-22E2-4140-8EAF-4759A518EFC5}" name="Capital Remb." dataDxfId="93">
      <calculatedColumnFormula>C6-D6</calculatedColumnFormula>
    </tableColumn>
    <tableColumn id="6" xr3:uid="{525EE932-41BB-4659-B855-F2B29BD7222B}" name="Solde fin période" dataDxfId="92">
      <calculatedColumnFormula>B6-E6</calculatedColumnFormula>
    </tableColumn>
  </tableColumns>
  <tableStyleInfo name="TableStyleMedium1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8B1A735-505D-4873-9D8A-ED8134366856}" name="Tableau3626" displayName="Tableau3626" ref="A5:F377" totalsRowShown="0" headerRowDxfId="91" dataDxfId="90">
  <autoFilter ref="A5:F377" xr:uid="{00000000-0009-0000-0100-000005000000}"/>
  <tableColumns count="6">
    <tableColumn id="1" xr3:uid="{8115B22A-8630-4390-9235-0EE8BC48A3A3}" name="Période" dataDxfId="89"/>
    <tableColumn id="2" xr3:uid="{2BBD21C8-A1BE-4174-BDF5-95D73971DC39}" name="Solde début période" dataDxfId="88">
      <calculatedColumnFormula>F5</calculatedColumnFormula>
    </tableColumn>
    <tableColumn id="3" xr3:uid="{DEA5F2B3-FA6F-430E-AF7C-E09852534156}" name="Paiement" dataDxfId="87">
      <calculatedColumnFormula>IF(ROUND(Tableau3626[[#This Row],[Solde début période]],2)&lt;=0,0,$D$2)</calculatedColumnFormula>
    </tableColumn>
    <tableColumn id="4" xr3:uid="{03F229AA-4A8A-44AC-819F-8B70291A9996}" name="Intérêt" dataDxfId="86">
      <calculatedColumnFormula>B6*($B$2/12)</calculatedColumnFormula>
    </tableColumn>
    <tableColumn id="5" xr3:uid="{3756B94B-827F-4B3C-A154-4394350C1EFC}" name="Capital Remb." dataDxfId="85">
      <calculatedColumnFormula>C6-D6</calculatedColumnFormula>
    </tableColumn>
    <tableColumn id="6" xr3:uid="{9B5CE455-2942-4C37-883B-DE7D92E449AE}" name="Solde fin période" dataDxfId="84">
      <calculatedColumnFormula>B6-E6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Relationship Id="rId9" Type="http://schemas.openxmlformats.org/officeDocument/2006/relationships/table" Target="../tables/table2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427D-BFF0-46AE-8B25-5CD9E306174C}">
  <sheetPr codeName="Feuil1"/>
  <dimension ref="A1:C25"/>
  <sheetViews>
    <sheetView zoomScale="160" zoomScaleNormal="160" workbookViewId="0">
      <selection activeCell="E15" sqref="E15"/>
    </sheetView>
  </sheetViews>
  <sheetFormatPr baseColWidth="10" defaultColWidth="11.3984375" defaultRowHeight="14" x14ac:dyDescent="0.2"/>
  <cols>
    <col min="1" max="1" width="25.796875" customWidth="1"/>
    <col min="2" max="2" width="40.3984375" customWidth="1"/>
  </cols>
  <sheetData>
    <row r="1" spans="1:3" x14ac:dyDescent="0.2">
      <c r="A1" s="178" t="s">
        <v>1</v>
      </c>
      <c r="B1" s="244" t="s">
        <v>558</v>
      </c>
      <c r="C1" t="s">
        <v>200</v>
      </c>
    </row>
    <row r="2" spans="1:3" x14ac:dyDescent="0.2">
      <c r="A2" s="178" t="s">
        <v>1</v>
      </c>
      <c r="B2" s="244" t="s">
        <v>559</v>
      </c>
      <c r="C2" t="s">
        <v>200</v>
      </c>
    </row>
    <row r="3" spans="1:3" x14ac:dyDescent="0.2">
      <c r="A3" s="178"/>
      <c r="B3" s="244"/>
    </row>
    <row r="4" spans="1:3" x14ac:dyDescent="0.2">
      <c r="A4" s="178" t="s">
        <v>0</v>
      </c>
      <c r="B4" s="244"/>
    </row>
    <row r="5" spans="1:3" x14ac:dyDescent="0.2">
      <c r="A5" s="178" t="s">
        <v>1</v>
      </c>
      <c r="B5" s="244" t="s">
        <v>205</v>
      </c>
      <c r="C5" s="191" t="s">
        <v>200</v>
      </c>
    </row>
    <row r="6" spans="1:3" x14ac:dyDescent="0.2">
      <c r="A6" s="178" t="s">
        <v>1</v>
      </c>
      <c r="B6" s="244" t="s">
        <v>205</v>
      </c>
      <c r="C6" t="s">
        <v>200</v>
      </c>
    </row>
    <row r="7" spans="1:3" x14ac:dyDescent="0.2">
      <c r="A7" s="178"/>
      <c r="B7" s="179"/>
    </row>
    <row r="8" spans="1:3" x14ac:dyDescent="0.2">
      <c r="A8" s="178" t="s">
        <v>225</v>
      </c>
      <c r="B8" s="179"/>
    </row>
    <row r="9" spans="1:3" x14ac:dyDescent="0.2">
      <c r="A9" s="178"/>
      <c r="B9" s="179"/>
    </row>
    <row r="10" spans="1:3" x14ac:dyDescent="0.2">
      <c r="A10" s="178" t="s">
        <v>201</v>
      </c>
    </row>
    <row r="11" spans="1:3" x14ac:dyDescent="0.2">
      <c r="A11" s="178" t="s">
        <v>202</v>
      </c>
    </row>
    <row r="12" spans="1:3" x14ac:dyDescent="0.2">
      <c r="A12" s="178" t="s">
        <v>2</v>
      </c>
    </row>
    <row r="13" spans="1:3" x14ac:dyDescent="0.2">
      <c r="A13" s="178" t="s">
        <v>4</v>
      </c>
    </row>
    <row r="14" spans="1:3" x14ac:dyDescent="0.2">
      <c r="A14" s="178" t="s">
        <v>5</v>
      </c>
      <c r="B14" s="179"/>
    </row>
    <row r="15" spans="1:3" x14ac:dyDescent="0.2">
      <c r="A15" s="178" t="s">
        <v>6</v>
      </c>
      <c r="B15" s="179"/>
    </row>
    <row r="16" spans="1:3" x14ac:dyDescent="0.2">
      <c r="A16" s="178" t="s">
        <v>9</v>
      </c>
    </row>
    <row r="17" spans="1:2" x14ac:dyDescent="0.2">
      <c r="A17" s="178" t="s">
        <v>10</v>
      </c>
    </row>
    <row r="18" spans="1:2" x14ac:dyDescent="0.2">
      <c r="A18" s="178" t="s">
        <v>226</v>
      </c>
    </row>
    <row r="19" spans="1:2" x14ac:dyDescent="0.2">
      <c r="A19" s="178" t="s">
        <v>7</v>
      </c>
    </row>
    <row r="20" spans="1:2" x14ac:dyDescent="0.2">
      <c r="A20" s="178" t="s">
        <v>8</v>
      </c>
    </row>
    <row r="21" spans="1:2" x14ac:dyDescent="0.2">
      <c r="A21" s="178" t="s">
        <v>3</v>
      </c>
    </row>
    <row r="22" spans="1:2" x14ac:dyDescent="0.2">
      <c r="A22" s="178" t="s">
        <v>216</v>
      </c>
      <c r="B22" s="241" t="s">
        <v>205</v>
      </c>
    </row>
    <row r="23" spans="1:2" x14ac:dyDescent="0.2">
      <c r="A23" s="178" t="s">
        <v>218</v>
      </c>
      <c r="B23" s="241"/>
    </row>
    <row r="24" spans="1:2" x14ac:dyDescent="0.2">
      <c r="A24" s="178" t="s">
        <v>217</v>
      </c>
      <c r="B24" s="241" t="s">
        <v>205</v>
      </c>
    </row>
    <row r="25" spans="1:2" x14ac:dyDescent="0.2">
      <c r="A25" s="178" t="s">
        <v>219</v>
      </c>
      <c r="B25" s="24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7D16-1D6B-4C53-8F52-4C79F9E5BE50}">
  <sheetPr codeName="Feuil2">
    <pageSetUpPr fitToPage="1"/>
  </sheetPr>
  <dimension ref="B1:H24"/>
  <sheetViews>
    <sheetView showGridLines="0" topLeftCell="B1" zoomScale="130" zoomScaleNormal="130" zoomScaleSheetLayoutView="100" workbookViewId="0">
      <selection activeCell="B16" sqref="B16"/>
    </sheetView>
  </sheetViews>
  <sheetFormatPr baseColWidth="10" defaultColWidth="8.796875" defaultRowHeight="14" x14ac:dyDescent="0.2"/>
  <cols>
    <col min="1" max="1" width="2.796875" style="501" customWidth="1"/>
    <col min="2" max="2" width="46.59765625" style="500" customWidth="1"/>
    <col min="3" max="7" width="17.3984375" style="500" customWidth="1"/>
    <col min="8" max="8" width="18.19921875" style="500" customWidth="1"/>
    <col min="9" max="16384" width="8.796875" style="501"/>
  </cols>
  <sheetData>
    <row r="1" spans="2:8" ht="18.75" customHeight="1" x14ac:dyDescent="0.2">
      <c r="H1" s="7"/>
    </row>
    <row r="2" spans="2:8" ht="18.75" customHeight="1" thickBot="1" x14ac:dyDescent="0.25">
      <c r="B2" s="745" t="str">
        <f>IF(Informations!B2=" ",IF(Informations!B1=" "," ",Informations!B1),Informations!B1&amp;" &amp; "&amp;Informations!B2)</f>
        <v>Monsieur A &amp; Madame B</v>
      </c>
      <c r="C2" s="745"/>
      <c r="D2" s="502"/>
      <c r="E2" s="502"/>
      <c r="F2" s="502"/>
      <c r="G2" s="502"/>
      <c r="H2" s="524"/>
    </row>
    <row r="3" spans="2:8" ht="18.75" customHeight="1" thickTop="1" thickBot="1" x14ac:dyDescent="0.25">
      <c r="B3" s="503"/>
      <c r="C3" s="505"/>
      <c r="D3" s="603" t="s">
        <v>463</v>
      </c>
      <c r="E3" s="504"/>
      <c r="F3" s="504"/>
      <c r="G3" s="504"/>
      <c r="H3" s="504"/>
    </row>
    <row r="4" spans="2:8" ht="16" thickTop="1" x14ac:dyDescent="0.2">
      <c r="B4" s="506"/>
      <c r="C4" s="507"/>
      <c r="D4" s="507"/>
      <c r="E4" s="507"/>
      <c r="F4" s="507"/>
      <c r="G4" s="507"/>
      <c r="H4" s="507"/>
    </row>
    <row r="5" spans="2:8" ht="15" thickBot="1" x14ac:dyDescent="0.25">
      <c r="B5" s="743">
        <v>2023</v>
      </c>
      <c r="C5" s="743"/>
      <c r="D5" s="743"/>
      <c r="E5" s="743"/>
      <c r="F5" s="743"/>
      <c r="G5" s="743"/>
      <c r="H5" s="744"/>
    </row>
    <row r="6" spans="2:8" ht="35.25" customHeight="1" thickTop="1" thickBot="1" x14ac:dyDescent="0.25">
      <c r="B6" s="650" t="s">
        <v>464</v>
      </c>
      <c r="C6" s="741"/>
      <c r="D6" s="742"/>
      <c r="E6" s="742"/>
      <c r="F6" s="742"/>
      <c r="G6" s="742"/>
      <c r="H6" s="742"/>
    </row>
    <row r="7" spans="2:8" ht="35.25" customHeight="1" thickTop="1" thickBot="1" x14ac:dyDescent="0.25">
      <c r="B7" s="650" t="s">
        <v>465</v>
      </c>
      <c r="C7" s="741"/>
      <c r="D7" s="742"/>
      <c r="E7" s="742"/>
      <c r="F7" s="742"/>
      <c r="G7" s="742"/>
      <c r="H7" s="742"/>
    </row>
    <row r="8" spans="2:8" ht="35.25" customHeight="1" thickTop="1" thickBot="1" x14ac:dyDescent="0.25">
      <c r="B8" s="650" t="s">
        <v>466</v>
      </c>
      <c r="C8" s="741"/>
      <c r="D8" s="742"/>
      <c r="E8" s="742"/>
      <c r="F8" s="742"/>
      <c r="G8" s="742"/>
      <c r="H8" s="742"/>
    </row>
    <row r="9" spans="2:8" ht="35.25" customHeight="1" thickTop="1" x14ac:dyDescent="0.2">
      <c r="B9" s="651"/>
      <c r="C9" s="741"/>
      <c r="D9" s="742"/>
      <c r="E9" s="742"/>
      <c r="F9" s="742"/>
      <c r="G9" s="742"/>
      <c r="H9" s="742"/>
    </row>
    <row r="10" spans="2:8" ht="15" thickBot="1" x14ac:dyDescent="0.25">
      <c r="B10" s="743">
        <v>2024</v>
      </c>
      <c r="C10" s="743"/>
      <c r="D10" s="743"/>
      <c r="E10" s="743"/>
      <c r="F10" s="743"/>
      <c r="G10" s="743"/>
      <c r="H10" s="744"/>
    </row>
    <row r="11" spans="2:8" ht="35.25" customHeight="1" thickTop="1" thickBot="1" x14ac:dyDescent="0.25">
      <c r="B11" s="650" t="s">
        <v>464</v>
      </c>
      <c r="C11" s="741"/>
      <c r="D11" s="742"/>
      <c r="E11" s="742"/>
      <c r="F11" s="742"/>
      <c r="G11" s="742"/>
      <c r="H11" s="742"/>
    </row>
    <row r="12" spans="2:8" ht="35.25" customHeight="1" thickTop="1" thickBot="1" x14ac:dyDescent="0.25">
      <c r="B12" s="650" t="s">
        <v>465</v>
      </c>
      <c r="C12" s="741"/>
      <c r="D12" s="742"/>
      <c r="E12" s="742"/>
      <c r="F12" s="742"/>
      <c r="G12" s="742"/>
      <c r="H12" s="742"/>
    </row>
    <row r="13" spans="2:8" ht="35.25" customHeight="1" thickTop="1" thickBot="1" x14ac:dyDescent="0.25">
      <c r="B13" s="650" t="s">
        <v>466</v>
      </c>
      <c r="C13" s="741"/>
      <c r="D13" s="742"/>
      <c r="E13" s="742"/>
      <c r="F13" s="742"/>
      <c r="G13" s="742"/>
      <c r="H13" s="742"/>
    </row>
    <row r="14" spans="2:8" ht="35.25" customHeight="1" thickTop="1" x14ac:dyDescent="0.2">
      <c r="B14" s="651"/>
      <c r="C14" s="741"/>
      <c r="D14" s="742"/>
      <c r="E14" s="742"/>
      <c r="F14" s="742"/>
      <c r="G14" s="742"/>
      <c r="H14" s="742"/>
    </row>
    <row r="15" spans="2:8" ht="15" thickBot="1" x14ac:dyDescent="0.25">
      <c r="B15" s="743">
        <v>2025</v>
      </c>
      <c r="C15" s="743"/>
      <c r="D15" s="743"/>
      <c r="E15" s="743"/>
      <c r="F15" s="743"/>
      <c r="G15" s="743"/>
      <c r="H15" s="744"/>
    </row>
    <row r="16" spans="2:8" ht="35.25" customHeight="1" thickTop="1" thickBot="1" x14ac:dyDescent="0.25">
      <c r="B16" s="650" t="s">
        <v>464</v>
      </c>
      <c r="C16" s="741"/>
      <c r="D16" s="742"/>
      <c r="E16" s="742"/>
      <c r="F16" s="742"/>
      <c r="G16" s="742"/>
      <c r="H16" s="742"/>
    </row>
    <row r="17" spans="2:8" ht="35.25" customHeight="1" thickTop="1" thickBot="1" x14ac:dyDescent="0.25">
      <c r="B17" s="650" t="s">
        <v>465</v>
      </c>
      <c r="C17" s="741"/>
      <c r="D17" s="742"/>
      <c r="E17" s="742"/>
      <c r="F17" s="742"/>
      <c r="G17" s="742"/>
      <c r="H17" s="742"/>
    </row>
    <row r="18" spans="2:8" ht="35.25" customHeight="1" thickTop="1" thickBot="1" x14ac:dyDescent="0.25">
      <c r="B18" s="650" t="s">
        <v>466</v>
      </c>
      <c r="C18" s="741"/>
      <c r="D18" s="742"/>
      <c r="E18" s="742"/>
      <c r="F18" s="742"/>
      <c r="G18" s="742"/>
      <c r="H18" s="742"/>
    </row>
    <row r="19" spans="2:8" ht="35.25" customHeight="1" thickTop="1" x14ac:dyDescent="0.2">
      <c r="B19" s="651"/>
      <c r="C19" s="741"/>
      <c r="D19" s="742"/>
      <c r="E19" s="742"/>
      <c r="F19" s="742"/>
      <c r="G19" s="742"/>
      <c r="H19" s="742"/>
    </row>
    <row r="20" spans="2:8" ht="15" thickBot="1" x14ac:dyDescent="0.25">
      <c r="B20" s="743">
        <v>2019</v>
      </c>
      <c r="C20" s="743"/>
      <c r="D20" s="743"/>
      <c r="E20" s="743"/>
      <c r="F20" s="743"/>
      <c r="G20" s="743"/>
      <c r="H20" s="744"/>
    </row>
    <row r="21" spans="2:8" ht="35.25" customHeight="1" thickTop="1" thickBot="1" x14ac:dyDescent="0.25">
      <c r="B21" s="650" t="s">
        <v>464</v>
      </c>
      <c r="C21" s="741"/>
      <c r="D21" s="742"/>
      <c r="E21" s="742"/>
      <c r="F21" s="742"/>
      <c r="G21" s="742"/>
      <c r="H21" s="742"/>
    </row>
    <row r="22" spans="2:8" ht="35.25" customHeight="1" thickTop="1" thickBot="1" x14ac:dyDescent="0.25">
      <c r="B22" s="650" t="s">
        <v>465</v>
      </c>
      <c r="C22" s="741"/>
      <c r="D22" s="742"/>
      <c r="E22" s="742"/>
      <c r="F22" s="742"/>
      <c r="G22" s="742"/>
      <c r="H22" s="742"/>
    </row>
    <row r="23" spans="2:8" ht="35.25" customHeight="1" thickTop="1" thickBot="1" x14ac:dyDescent="0.25">
      <c r="B23" s="650" t="s">
        <v>466</v>
      </c>
      <c r="C23" s="741"/>
      <c r="D23" s="742"/>
      <c r="E23" s="742"/>
      <c r="F23" s="742"/>
      <c r="G23" s="742"/>
      <c r="H23" s="742"/>
    </row>
    <row r="24" spans="2:8" ht="35.25" customHeight="1" thickTop="1" x14ac:dyDescent="0.2">
      <c r="B24" s="651"/>
      <c r="C24" s="741"/>
      <c r="D24" s="742"/>
      <c r="E24" s="742"/>
      <c r="F24" s="742"/>
      <c r="G24" s="742"/>
      <c r="H24" s="742"/>
    </row>
  </sheetData>
  <sheetProtection formatColumns="0" formatRows="0" insertColumns="0" insertRows="0" deleteColumns="0" deleteRows="0" selectLockedCells="1"/>
  <mergeCells count="21">
    <mergeCell ref="B20:H20"/>
    <mergeCell ref="C21:H21"/>
    <mergeCell ref="C22:H22"/>
    <mergeCell ref="C23:H23"/>
    <mergeCell ref="C24:H24"/>
    <mergeCell ref="B15:H15"/>
    <mergeCell ref="C16:H16"/>
    <mergeCell ref="C17:H17"/>
    <mergeCell ref="C18:H18"/>
    <mergeCell ref="C19:H19"/>
    <mergeCell ref="B2:C2"/>
    <mergeCell ref="B5:H5"/>
    <mergeCell ref="C6:H6"/>
    <mergeCell ref="C7:H7"/>
    <mergeCell ref="C8:H8"/>
    <mergeCell ref="C14:H14"/>
    <mergeCell ref="C9:H9"/>
    <mergeCell ref="B10:H10"/>
    <mergeCell ref="C11:H11"/>
    <mergeCell ref="C12:H12"/>
    <mergeCell ref="C13:H13"/>
  </mergeCells>
  <printOptions horizontalCentered="1" verticalCentered="1"/>
  <pageMargins left="0.5" right="0.5" top="0.5" bottom="0.5" header="0.5" footer="0.5"/>
  <pageSetup scale="70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4805-D942-4240-8409-ABCA47E14308}">
  <sheetPr codeName="Feuil3">
    <pageSetUpPr fitToPage="1"/>
  </sheetPr>
  <dimension ref="B1:H31"/>
  <sheetViews>
    <sheetView showGridLines="0" topLeftCell="A5" zoomScale="145" zoomScaleNormal="145" zoomScaleSheetLayoutView="100" workbookViewId="0">
      <selection activeCell="C24" sqref="C24:H24"/>
    </sheetView>
  </sheetViews>
  <sheetFormatPr baseColWidth="10" defaultColWidth="8.796875" defaultRowHeight="14" x14ac:dyDescent="0.2"/>
  <cols>
    <col min="1" max="1" width="2.796875" style="501" customWidth="1"/>
    <col min="2" max="2" width="46.59765625" style="500" customWidth="1"/>
    <col min="3" max="7" width="17.3984375" style="500" customWidth="1"/>
    <col min="8" max="8" width="18.19921875" style="500" customWidth="1"/>
    <col min="9" max="16384" width="8.796875" style="501"/>
  </cols>
  <sheetData>
    <row r="1" spans="2:8" ht="18.75" customHeight="1" x14ac:dyDescent="0.2">
      <c r="H1" s="7"/>
    </row>
    <row r="2" spans="2:8" ht="18.75" customHeight="1" thickBot="1" x14ac:dyDescent="0.25">
      <c r="B2" s="745" t="str">
        <f>IF(Informations!B2=" ",IF(Informations!B1=" "," ",Informations!B1),Informations!B1&amp;" &amp; "&amp;Informations!B2)</f>
        <v>Monsieur A &amp; Madame B</v>
      </c>
      <c r="C2" s="745"/>
      <c r="D2" s="745"/>
      <c r="E2" s="502"/>
      <c r="F2" s="502"/>
      <c r="G2" s="502"/>
      <c r="H2" s="524"/>
    </row>
    <row r="3" spans="2:8" ht="18.75" customHeight="1" thickTop="1" thickBot="1" x14ac:dyDescent="0.25">
      <c r="B3" s="503"/>
      <c r="C3" s="504"/>
      <c r="D3" s="505" t="s">
        <v>492</v>
      </c>
      <c r="E3" s="504"/>
      <c r="F3" s="504"/>
      <c r="G3" s="504"/>
      <c r="H3" s="504"/>
    </row>
    <row r="4" spans="2:8" ht="16" thickTop="1" x14ac:dyDescent="0.2">
      <c r="B4" s="506"/>
      <c r="D4" s="507"/>
      <c r="E4" s="507"/>
      <c r="F4" s="507"/>
      <c r="G4" s="507"/>
      <c r="H4" s="507"/>
    </row>
    <row r="5" spans="2:8" ht="16" thickBot="1" x14ac:dyDescent="0.25">
      <c r="B5" s="508" t="str">
        <f>IF(Informations!B1=" "," ",Informations!B1)</f>
        <v>Monsieur A</v>
      </c>
      <c r="C5" s="509" t="s">
        <v>203</v>
      </c>
      <c r="D5" s="509" t="s">
        <v>206</v>
      </c>
      <c r="E5" s="509" t="s">
        <v>207</v>
      </c>
      <c r="F5" s="509" t="s">
        <v>208</v>
      </c>
      <c r="G5" s="509" t="s">
        <v>209</v>
      </c>
      <c r="H5" s="509" t="s">
        <v>467</v>
      </c>
    </row>
    <row r="6" spans="2:8" ht="16" thickTop="1" x14ac:dyDescent="0.2">
      <c r="B6" s="510" t="s">
        <v>11</v>
      </c>
      <c r="C6" s="511"/>
      <c r="D6" s="511"/>
      <c r="E6" s="511"/>
      <c r="F6" s="511"/>
      <c r="G6" s="511"/>
      <c r="H6" s="511"/>
    </row>
    <row r="7" spans="2:8" ht="15" x14ac:dyDescent="0.2">
      <c r="B7" s="510" t="s">
        <v>12</v>
      </c>
      <c r="C7" s="511"/>
      <c r="D7" s="511"/>
      <c r="E7" s="511"/>
      <c r="F7" s="511"/>
      <c r="G7" s="511"/>
      <c r="H7" s="511"/>
    </row>
    <row r="8" spans="2:8" ht="15" x14ac:dyDescent="0.2">
      <c r="B8" s="510" t="s">
        <v>13</v>
      </c>
      <c r="C8" s="512">
        <v>35000</v>
      </c>
      <c r="D8" s="512"/>
      <c r="E8" s="512"/>
      <c r="F8" s="512"/>
      <c r="G8" s="512"/>
      <c r="H8" s="512"/>
    </row>
    <row r="9" spans="2:8" ht="15" x14ac:dyDescent="0.2">
      <c r="B9" s="510" t="s">
        <v>14</v>
      </c>
      <c r="C9" s="512">
        <v>0</v>
      </c>
      <c r="D9" s="512"/>
      <c r="E9" s="512"/>
      <c r="F9" s="512"/>
      <c r="G9" s="512"/>
      <c r="H9" s="512"/>
    </row>
    <row r="10" spans="2:8" ht="15" x14ac:dyDescent="0.2">
      <c r="B10" s="510" t="s">
        <v>204</v>
      </c>
      <c r="C10" s="512"/>
      <c r="D10" s="512"/>
      <c r="E10" s="512"/>
      <c r="F10" s="512"/>
      <c r="G10" s="512"/>
      <c r="H10" s="511"/>
    </row>
    <row r="11" spans="2:8" ht="15" x14ac:dyDescent="0.2">
      <c r="B11" s="510" t="s">
        <v>224</v>
      </c>
      <c r="C11" s="512"/>
      <c r="D11" s="512"/>
      <c r="E11" s="512"/>
      <c r="F11" s="512"/>
      <c r="G11" s="512"/>
      <c r="H11" s="511"/>
    </row>
    <row r="12" spans="2:8" ht="15" x14ac:dyDescent="0.2">
      <c r="B12" s="510" t="s">
        <v>227</v>
      </c>
      <c r="C12" s="512"/>
      <c r="D12" s="512"/>
      <c r="E12" s="512"/>
      <c r="F12" s="512"/>
      <c r="G12" s="512"/>
      <c r="H12" s="511"/>
    </row>
    <row r="13" spans="2:8" ht="15" x14ac:dyDescent="0.2">
      <c r="B13" s="510" t="s">
        <v>228</v>
      </c>
      <c r="C13" s="513">
        <f>C12/C8</f>
        <v>0</v>
      </c>
      <c r="D13" s="513" t="e">
        <f t="shared" ref="D13:H13" si="0">D12/D8</f>
        <v>#DIV/0!</v>
      </c>
      <c r="E13" s="513" t="e">
        <f t="shared" si="0"/>
        <v>#DIV/0!</v>
      </c>
      <c r="F13" s="513" t="e">
        <f t="shared" si="0"/>
        <v>#DIV/0!</v>
      </c>
      <c r="G13" s="513" t="e">
        <f t="shared" si="0"/>
        <v>#DIV/0!</v>
      </c>
      <c r="H13" s="513" t="e">
        <f t="shared" si="0"/>
        <v>#DIV/0!</v>
      </c>
    </row>
    <row r="14" spans="2:8" x14ac:dyDescent="0.2">
      <c r="B14" s="514"/>
      <c r="C14" s="515"/>
      <c r="D14" s="515"/>
      <c r="E14" s="515"/>
      <c r="F14" s="515"/>
      <c r="G14" s="515"/>
      <c r="H14" s="515"/>
    </row>
    <row r="15" spans="2:8" x14ac:dyDescent="0.2">
      <c r="B15" s="501"/>
      <c r="C15" s="516">
        <v>2021</v>
      </c>
      <c r="D15" s="516">
        <v>2022</v>
      </c>
      <c r="E15" s="516">
        <v>2023</v>
      </c>
      <c r="F15" s="516">
        <v>2024</v>
      </c>
      <c r="G15" s="516">
        <v>2025</v>
      </c>
      <c r="H15" s="516">
        <v>2026</v>
      </c>
    </row>
    <row r="16" spans="2:8" ht="16" thickBot="1" x14ac:dyDescent="0.25">
      <c r="B16" s="508" t="str">
        <f>IF(Informations!B2=" "," ",Informations!B2)</f>
        <v>Madame B</v>
      </c>
      <c r="C16" s="517" t="str">
        <f>+C5</f>
        <v>2022</v>
      </c>
      <c r="D16" s="517" t="str">
        <f t="shared" ref="D16:H16" si="1">+D5</f>
        <v>2023</v>
      </c>
      <c r="E16" s="517" t="str">
        <f t="shared" si="1"/>
        <v>2024</v>
      </c>
      <c r="F16" s="517" t="str">
        <f t="shared" si="1"/>
        <v>2025</v>
      </c>
      <c r="G16" s="517" t="str">
        <f t="shared" si="1"/>
        <v>2026</v>
      </c>
      <c r="H16" s="517" t="str">
        <f t="shared" si="1"/>
        <v>2027</v>
      </c>
    </row>
    <row r="17" spans="2:8" ht="16" thickTop="1" x14ac:dyDescent="0.2">
      <c r="B17" s="510" t="s">
        <v>11</v>
      </c>
      <c r="C17" s="511"/>
      <c r="D17" s="511"/>
      <c r="E17" s="511"/>
      <c r="F17" s="511"/>
      <c r="G17" s="511"/>
      <c r="H17" s="511"/>
    </row>
    <row r="18" spans="2:8" ht="15" x14ac:dyDescent="0.2">
      <c r="B18" s="510" t="s">
        <v>12</v>
      </c>
      <c r="C18" s="511"/>
      <c r="D18" s="511"/>
      <c r="E18" s="511"/>
      <c r="F18" s="511"/>
      <c r="G18" s="511"/>
      <c r="H18" s="511"/>
    </row>
    <row r="19" spans="2:8" ht="15" x14ac:dyDescent="0.2">
      <c r="B19" s="510" t="s">
        <v>13</v>
      </c>
      <c r="C19" s="512">
        <v>50000</v>
      </c>
      <c r="D19" s="512"/>
      <c r="E19" s="512"/>
      <c r="F19" s="512"/>
      <c r="G19" s="512"/>
      <c r="H19" s="512"/>
    </row>
    <row r="20" spans="2:8" ht="15" x14ac:dyDescent="0.2">
      <c r="B20" s="510" t="s">
        <v>14</v>
      </c>
      <c r="C20" s="512">
        <v>0</v>
      </c>
      <c r="D20" s="512"/>
      <c r="E20" s="512"/>
      <c r="F20" s="512"/>
      <c r="G20" s="512"/>
      <c r="H20" s="511"/>
    </row>
    <row r="21" spans="2:8" ht="15" x14ac:dyDescent="0.2">
      <c r="B21" s="510" t="s">
        <v>15</v>
      </c>
      <c r="C21" s="512"/>
      <c r="D21" s="512"/>
      <c r="E21" s="512"/>
      <c r="F21" s="512"/>
      <c r="G21" s="512"/>
      <c r="H21" s="511"/>
    </row>
    <row r="22" spans="2:8" ht="15" x14ac:dyDescent="0.2">
      <c r="B22" s="510" t="s">
        <v>16</v>
      </c>
      <c r="C22" s="512"/>
      <c r="D22" s="512"/>
      <c r="E22" s="512"/>
      <c r="F22" s="512"/>
      <c r="G22" s="512"/>
      <c r="H22" s="511"/>
    </row>
    <row r="23" spans="2:8" ht="15" x14ac:dyDescent="0.2">
      <c r="B23" s="510" t="s">
        <v>227</v>
      </c>
      <c r="C23" s="512"/>
      <c r="D23" s="512"/>
      <c r="E23" s="512"/>
      <c r="F23" s="512"/>
      <c r="G23" s="512"/>
      <c r="H23" s="511"/>
    </row>
    <row r="24" spans="2:8" ht="15" x14ac:dyDescent="0.2">
      <c r="B24" s="510" t="s">
        <v>228</v>
      </c>
      <c r="C24" s="513">
        <f>C23/C19</f>
        <v>0</v>
      </c>
      <c r="D24" s="513" t="e">
        <f t="shared" ref="D24:H24" si="2">D23/D19</f>
        <v>#DIV/0!</v>
      </c>
      <c r="E24" s="513" t="e">
        <f t="shared" si="2"/>
        <v>#DIV/0!</v>
      </c>
      <c r="F24" s="513" t="e">
        <f t="shared" si="2"/>
        <v>#DIV/0!</v>
      </c>
      <c r="G24" s="513" t="e">
        <f t="shared" si="2"/>
        <v>#DIV/0!</v>
      </c>
      <c r="H24" s="513" t="e">
        <f t="shared" si="2"/>
        <v>#DIV/0!</v>
      </c>
    </row>
    <row r="25" spans="2:8" x14ac:dyDescent="0.2">
      <c r="B25" s="514"/>
      <c r="C25" s="515"/>
      <c r="D25" s="515"/>
      <c r="E25" s="515"/>
      <c r="F25" s="515"/>
      <c r="G25" s="515"/>
      <c r="H25" s="515"/>
    </row>
    <row r="26" spans="2:8" x14ac:dyDescent="0.2">
      <c r="B26" s="501"/>
      <c r="C26" s="516">
        <v>2021</v>
      </c>
      <c r="D26" s="516">
        <v>2022</v>
      </c>
      <c r="E26" s="516">
        <v>2023</v>
      </c>
      <c r="F26" s="516">
        <v>2024</v>
      </c>
      <c r="G26" s="516">
        <v>2025</v>
      </c>
      <c r="H26" s="516">
        <v>2026</v>
      </c>
    </row>
    <row r="27" spans="2:8" ht="16" thickBot="1" x14ac:dyDescent="0.25">
      <c r="B27" s="518" t="s">
        <v>115</v>
      </c>
      <c r="C27" s="519" t="str">
        <f>+C5</f>
        <v>2022</v>
      </c>
      <c r="D27" s="519" t="str">
        <f t="shared" ref="D27:H27" si="3">+D5</f>
        <v>2023</v>
      </c>
      <c r="E27" s="519" t="str">
        <f t="shared" si="3"/>
        <v>2024</v>
      </c>
      <c r="F27" s="519" t="str">
        <f t="shared" si="3"/>
        <v>2025</v>
      </c>
      <c r="G27" s="519" t="str">
        <f t="shared" si="3"/>
        <v>2026</v>
      </c>
      <c r="H27" s="519" t="str">
        <f t="shared" si="3"/>
        <v>2027</v>
      </c>
    </row>
    <row r="28" spans="2:8" ht="35.25" customHeight="1" thickTop="1" x14ac:dyDescent="0.2">
      <c r="B28" s="520"/>
      <c r="C28" s="521"/>
      <c r="D28" s="521"/>
      <c r="E28" s="521"/>
      <c r="F28" s="521"/>
      <c r="G28" s="521"/>
      <c r="H28" s="522"/>
    </row>
    <row r="29" spans="2:8" ht="39" customHeight="1" x14ac:dyDescent="0.2">
      <c r="B29" s="520"/>
      <c r="C29" s="521"/>
      <c r="D29" s="521"/>
      <c r="E29" s="521"/>
      <c r="F29" s="521"/>
      <c r="G29" s="521"/>
      <c r="H29" s="522"/>
    </row>
    <row r="30" spans="2:8" ht="35.25" customHeight="1" x14ac:dyDescent="0.2">
      <c r="B30" s="520"/>
      <c r="C30" s="521"/>
      <c r="D30" s="521"/>
      <c r="E30" s="521"/>
      <c r="F30" s="521"/>
      <c r="G30" s="521"/>
      <c r="H30" s="522"/>
    </row>
    <row r="31" spans="2:8" x14ac:dyDescent="0.2">
      <c r="C31" s="523"/>
      <c r="D31" s="523"/>
      <c r="E31" s="523"/>
      <c r="F31" s="523"/>
      <c r="G31" s="523"/>
    </row>
  </sheetData>
  <sheetProtection formatColumns="0" formatRows="0" insertColumns="0" insertRows="0" deleteColumns="0" deleteRows="0" selectLockedCells="1"/>
  <mergeCells count="1">
    <mergeCell ref="B2:D2"/>
  </mergeCells>
  <phoneticPr fontId="65" type="noConversion"/>
  <printOptions horizontalCentered="1" verticalCentered="1"/>
  <pageMargins left="0.5" right="0.5" top="0.5" bottom="0.5" header="0.5" footer="0.5"/>
  <pageSetup scale="70" orientation="portrait" horizontalDpi="4294967294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H63"/>
  <sheetViews>
    <sheetView showGridLines="0" zoomScale="140" zoomScaleNormal="140" zoomScaleSheetLayoutView="100" workbookViewId="0">
      <selection activeCell="B5" sqref="B5"/>
    </sheetView>
  </sheetViews>
  <sheetFormatPr baseColWidth="10" defaultColWidth="8.796875" defaultRowHeight="14" x14ac:dyDescent="0.2"/>
  <cols>
    <col min="1" max="1" width="2.796875" style="501" customWidth="1"/>
    <col min="2" max="2" width="33.796875" style="500" customWidth="1"/>
    <col min="3" max="7" width="17.59765625" style="500" customWidth="1"/>
    <col min="8" max="8" width="19" style="500" customWidth="1"/>
    <col min="9" max="16384" width="8.796875" style="501"/>
  </cols>
  <sheetData>
    <row r="1" spans="2:8" x14ac:dyDescent="0.2">
      <c r="H1" s="7"/>
    </row>
    <row r="2" spans="2:8" ht="29.25" customHeight="1" thickBot="1" x14ac:dyDescent="0.25">
      <c r="B2" s="745" t="str">
        <f>IF(Informations!B2=" ",IF(Informations!B1=" "," ",Informations!B1),Informations!B1&amp;" &amp; "&amp;Informations!B2)</f>
        <v>Monsieur A &amp; Madame B</v>
      </c>
      <c r="C2" s="745"/>
      <c r="D2" s="745"/>
      <c r="E2" s="745"/>
      <c r="F2" s="525"/>
      <c r="G2" s="525"/>
      <c r="H2" s="559"/>
    </row>
    <row r="3" spans="2:8" ht="18.75" customHeight="1" thickTop="1" thickBot="1" x14ac:dyDescent="0.25">
      <c r="B3" s="503"/>
      <c r="C3" s="504"/>
      <c r="D3" s="504"/>
      <c r="E3" s="504"/>
      <c r="F3" s="504"/>
      <c r="G3" s="504"/>
      <c r="H3" s="504"/>
    </row>
    <row r="4" spans="2:8" ht="17" thickTop="1" x14ac:dyDescent="0.2">
      <c r="B4" s="526" t="s">
        <v>17</v>
      </c>
    </row>
    <row r="5" spans="2:8" ht="16" thickBot="1" x14ac:dyDescent="0.25">
      <c r="B5" s="508" t="s">
        <v>18</v>
      </c>
      <c r="C5" s="517">
        <v>44959</v>
      </c>
      <c r="D5" s="517">
        <v>45444</v>
      </c>
      <c r="E5" s="517">
        <v>45323</v>
      </c>
      <c r="F5" s="517">
        <v>45689</v>
      </c>
      <c r="G5" s="517">
        <v>46054</v>
      </c>
      <c r="H5" s="517">
        <v>46419</v>
      </c>
    </row>
    <row r="6" spans="2:8" ht="16" thickTop="1" x14ac:dyDescent="0.2">
      <c r="B6" s="510" t="s">
        <v>488</v>
      </c>
      <c r="C6" s="512">
        <v>30000</v>
      </c>
      <c r="D6" s="512">
        <v>60000</v>
      </c>
      <c r="E6" s="512">
        <v>120000</v>
      </c>
      <c r="F6" s="512">
        <v>500000</v>
      </c>
      <c r="G6" s="512">
        <v>700000</v>
      </c>
      <c r="H6" s="512">
        <v>1000000</v>
      </c>
    </row>
    <row r="7" spans="2:8" x14ac:dyDescent="0.2">
      <c r="B7" s="510"/>
      <c r="C7" s="512"/>
      <c r="D7" s="512"/>
      <c r="E7" s="512"/>
      <c r="F7" s="512"/>
      <c r="G7" s="512"/>
      <c r="H7" s="512"/>
    </row>
    <row r="8" spans="2:8" x14ac:dyDescent="0.2">
      <c r="B8" s="510"/>
      <c r="C8" s="512"/>
      <c r="D8" s="512"/>
      <c r="E8" s="512"/>
      <c r="F8" s="512"/>
      <c r="G8" s="512"/>
      <c r="H8" s="512"/>
    </row>
    <row r="9" spans="2:8" ht="15" x14ac:dyDescent="0.2">
      <c r="B9" s="514" t="s">
        <v>20</v>
      </c>
      <c r="C9" s="527">
        <f t="shared" ref="C9" si="0">SUM(C6:C8)</f>
        <v>30000</v>
      </c>
      <c r="D9" s="527">
        <f t="shared" ref="D9" si="1">SUM(D6:D8)</f>
        <v>60000</v>
      </c>
      <c r="E9" s="527">
        <f t="shared" ref="E9" si="2">SUM(E6:E8)</f>
        <v>120000</v>
      </c>
      <c r="F9" s="527">
        <f t="shared" ref="F9" si="3">SUM(F6:F8)</f>
        <v>500000</v>
      </c>
      <c r="G9" s="527">
        <f t="shared" ref="G9" si="4">SUM(G6:G8)</f>
        <v>700000</v>
      </c>
      <c r="H9" s="527">
        <f t="shared" ref="H9" si="5">SUM(H6:H8)</f>
        <v>1000000</v>
      </c>
    </row>
    <row r="10" spans="2:8" x14ac:dyDescent="0.2">
      <c r="B10" s="501"/>
      <c r="C10" s="516">
        <v>2021</v>
      </c>
      <c r="D10" s="516">
        <v>2022</v>
      </c>
      <c r="E10" s="516">
        <v>2023</v>
      </c>
      <c r="F10" s="516">
        <v>2024</v>
      </c>
      <c r="G10" s="516">
        <v>2025</v>
      </c>
      <c r="H10" s="516">
        <v>2026</v>
      </c>
    </row>
    <row r="11" spans="2:8" ht="16" thickBot="1" x14ac:dyDescent="0.25">
      <c r="B11" s="508" t="s">
        <v>21</v>
      </c>
      <c r="C11" s="517">
        <f>+C5</f>
        <v>44959</v>
      </c>
      <c r="D11" s="517">
        <f t="shared" ref="D11:H11" si="6">+D5</f>
        <v>45444</v>
      </c>
      <c r="E11" s="517">
        <f t="shared" si="6"/>
        <v>45323</v>
      </c>
      <c r="F11" s="517">
        <f t="shared" si="6"/>
        <v>45689</v>
      </c>
      <c r="G11" s="517">
        <f t="shared" si="6"/>
        <v>46054</v>
      </c>
      <c r="H11" s="517">
        <f t="shared" si="6"/>
        <v>46419</v>
      </c>
    </row>
    <row r="12" spans="2:8" ht="16" thickTop="1" x14ac:dyDescent="0.2">
      <c r="B12" s="510" t="s">
        <v>489</v>
      </c>
      <c r="C12" s="512"/>
      <c r="D12" s="512"/>
      <c r="E12" s="512"/>
      <c r="F12" s="512"/>
      <c r="G12" s="512"/>
      <c r="H12" s="512"/>
    </row>
    <row r="13" spans="2:8" ht="15" x14ac:dyDescent="0.2">
      <c r="B13" s="510" t="s">
        <v>489</v>
      </c>
      <c r="C13" s="512"/>
      <c r="D13" s="512"/>
      <c r="E13" s="512"/>
      <c r="F13" s="512"/>
      <c r="G13" s="512"/>
      <c r="H13" s="512"/>
    </row>
    <row r="14" spans="2:8" ht="15" x14ac:dyDescent="0.2">
      <c r="B14" s="528" t="s">
        <v>22</v>
      </c>
      <c r="C14" s="512"/>
      <c r="D14" s="512"/>
      <c r="E14" s="512"/>
      <c r="F14" s="512"/>
      <c r="G14" s="512"/>
      <c r="H14" s="512"/>
    </row>
    <row r="15" spans="2:8" ht="15" x14ac:dyDescent="0.2">
      <c r="B15" s="528" t="s">
        <v>490</v>
      </c>
      <c r="C15" s="512"/>
      <c r="D15" s="512"/>
      <c r="E15" s="512"/>
      <c r="F15" s="512"/>
      <c r="G15" s="512"/>
      <c r="H15" s="512"/>
    </row>
    <row r="16" spans="2:8" ht="15" x14ac:dyDescent="0.2">
      <c r="B16" s="529" t="s">
        <v>23</v>
      </c>
      <c r="C16" s="527">
        <f t="shared" ref="C16:H16" si="7">SUM(C12:C15)</f>
        <v>0</v>
      </c>
      <c r="D16" s="527">
        <f t="shared" si="7"/>
        <v>0</v>
      </c>
      <c r="E16" s="527">
        <f t="shared" si="7"/>
        <v>0</v>
      </c>
      <c r="F16" s="527">
        <f t="shared" si="7"/>
        <v>0</v>
      </c>
      <c r="G16" s="527">
        <f t="shared" si="7"/>
        <v>0</v>
      </c>
      <c r="H16" s="527">
        <f t="shared" si="7"/>
        <v>0</v>
      </c>
    </row>
    <row r="17" spans="2:8" x14ac:dyDescent="0.2">
      <c r="B17" s="501"/>
      <c r="C17" s="501"/>
      <c r="D17" s="501"/>
      <c r="E17" s="501"/>
      <c r="F17" s="501"/>
      <c r="G17" s="501"/>
      <c r="H17" s="501"/>
    </row>
    <row r="18" spans="2:8" ht="16" thickBot="1" x14ac:dyDescent="0.25">
      <c r="B18" s="508" t="s">
        <v>24</v>
      </c>
      <c r="C18" s="517">
        <f t="shared" ref="C18:H18" si="8">+C5</f>
        <v>44959</v>
      </c>
      <c r="D18" s="517">
        <f t="shared" si="8"/>
        <v>45444</v>
      </c>
      <c r="E18" s="517">
        <f t="shared" si="8"/>
        <v>45323</v>
      </c>
      <c r="F18" s="517">
        <f t="shared" si="8"/>
        <v>45689</v>
      </c>
      <c r="G18" s="517">
        <f t="shared" si="8"/>
        <v>46054</v>
      </c>
      <c r="H18" s="517">
        <f t="shared" si="8"/>
        <v>46419</v>
      </c>
    </row>
    <row r="19" spans="2:8" ht="16" thickTop="1" x14ac:dyDescent="0.2">
      <c r="B19" s="510" t="s">
        <v>25</v>
      </c>
      <c r="C19" s="512"/>
      <c r="D19" s="512"/>
      <c r="E19" s="512"/>
      <c r="F19" s="512"/>
      <c r="G19" s="512"/>
      <c r="H19" s="512"/>
    </row>
    <row r="20" spans="2:8" x14ac:dyDescent="0.2">
      <c r="B20" s="510"/>
      <c r="C20" s="512"/>
      <c r="D20" s="512"/>
      <c r="E20" s="512"/>
      <c r="F20" s="512"/>
      <c r="G20" s="512"/>
      <c r="H20" s="512"/>
    </row>
    <row r="21" spans="2:8" x14ac:dyDescent="0.2">
      <c r="B21" s="510"/>
      <c r="C21" s="512"/>
      <c r="D21" s="512"/>
      <c r="E21" s="512"/>
      <c r="F21" s="512"/>
      <c r="G21" s="512"/>
      <c r="H21" s="512"/>
    </row>
    <row r="22" spans="2:8" ht="15" x14ac:dyDescent="0.2">
      <c r="B22" s="529" t="s">
        <v>26</v>
      </c>
      <c r="C22" s="527">
        <f t="shared" ref="C22:H22" si="9">SUM(C19:C21)</f>
        <v>0</v>
      </c>
      <c r="D22" s="527">
        <f t="shared" si="9"/>
        <v>0</v>
      </c>
      <c r="E22" s="527">
        <f t="shared" si="9"/>
        <v>0</v>
      </c>
      <c r="F22" s="527">
        <f t="shared" si="9"/>
        <v>0</v>
      </c>
      <c r="G22" s="527">
        <f t="shared" si="9"/>
        <v>0</v>
      </c>
      <c r="H22" s="527">
        <f t="shared" si="9"/>
        <v>0</v>
      </c>
    </row>
    <row r="23" spans="2:8" x14ac:dyDescent="0.2">
      <c r="B23" s="501"/>
      <c r="C23" s="501"/>
      <c r="D23" s="501"/>
      <c r="E23" s="501"/>
      <c r="F23" s="501"/>
      <c r="G23" s="501"/>
      <c r="H23" s="501"/>
    </row>
    <row r="24" spans="2:8" ht="16" thickBot="1" x14ac:dyDescent="0.25">
      <c r="B24" s="508" t="s">
        <v>27</v>
      </c>
      <c r="C24" s="517">
        <f t="shared" ref="C24:H24" si="10">+C5</f>
        <v>44959</v>
      </c>
      <c r="D24" s="517">
        <f t="shared" si="10"/>
        <v>45444</v>
      </c>
      <c r="E24" s="517">
        <f t="shared" si="10"/>
        <v>45323</v>
      </c>
      <c r="F24" s="517">
        <f t="shared" si="10"/>
        <v>45689</v>
      </c>
      <c r="G24" s="517">
        <f t="shared" si="10"/>
        <v>46054</v>
      </c>
      <c r="H24" s="517">
        <f t="shared" si="10"/>
        <v>46419</v>
      </c>
    </row>
    <row r="25" spans="2:8" ht="15" thickTop="1" x14ac:dyDescent="0.2">
      <c r="B25" s="528"/>
      <c r="C25" s="512">
        <v>0</v>
      </c>
      <c r="D25" s="512"/>
      <c r="E25" s="512"/>
      <c r="F25" s="512"/>
      <c r="G25" s="512"/>
      <c r="H25" s="512"/>
    </row>
    <row r="26" spans="2:8" x14ac:dyDescent="0.2">
      <c r="B26" s="510"/>
      <c r="C26" s="512">
        <v>0</v>
      </c>
      <c r="D26" s="512"/>
      <c r="E26" s="512"/>
      <c r="F26" s="512"/>
      <c r="G26" s="512"/>
      <c r="H26" s="512"/>
    </row>
    <row r="27" spans="2:8" x14ac:dyDescent="0.2">
      <c r="B27" s="510"/>
      <c r="C27" s="512">
        <v>0</v>
      </c>
      <c r="D27" s="512"/>
      <c r="E27" s="512"/>
      <c r="F27" s="512"/>
      <c r="G27" s="512"/>
      <c r="H27" s="512"/>
    </row>
    <row r="28" spans="2:8" ht="15" x14ac:dyDescent="0.2">
      <c r="B28" s="514" t="s">
        <v>28</v>
      </c>
      <c r="C28" s="527">
        <f t="shared" ref="C28" si="11">SUM(C25:C27)</f>
        <v>0</v>
      </c>
      <c r="D28" s="527">
        <f t="shared" ref="D28" si="12">SUM(D25:D27)</f>
        <v>0</v>
      </c>
      <c r="E28" s="527">
        <f t="shared" ref="E28" si="13">SUM(E25:E27)</f>
        <v>0</v>
      </c>
      <c r="F28" s="527">
        <f t="shared" ref="F28" si="14">SUM(F25:F27)</f>
        <v>0</v>
      </c>
      <c r="G28" s="527">
        <f t="shared" ref="G28" si="15">SUM(G25:G27)</f>
        <v>0</v>
      </c>
      <c r="H28" s="527">
        <f t="shared" ref="H28" si="16">SUM(H25:H27)</f>
        <v>0</v>
      </c>
    </row>
    <row r="29" spans="2:8" ht="18.75" customHeight="1" x14ac:dyDescent="0.2">
      <c r="B29" s="501"/>
      <c r="C29" s="501"/>
      <c r="D29" s="501"/>
      <c r="E29" s="501"/>
      <c r="F29" s="501"/>
      <c r="G29" s="501"/>
      <c r="H29" s="501"/>
    </row>
    <row r="30" spans="2:8" ht="16" thickBot="1" x14ac:dyDescent="0.25">
      <c r="B30" s="508" t="s">
        <v>29</v>
      </c>
      <c r="C30" s="517">
        <f t="shared" ref="C30:H30" si="17">+C5</f>
        <v>44959</v>
      </c>
      <c r="D30" s="517">
        <f t="shared" si="17"/>
        <v>45444</v>
      </c>
      <c r="E30" s="517">
        <f t="shared" si="17"/>
        <v>45323</v>
      </c>
      <c r="F30" s="517">
        <f t="shared" si="17"/>
        <v>45689</v>
      </c>
      <c r="G30" s="517">
        <f t="shared" si="17"/>
        <v>46054</v>
      </c>
      <c r="H30" s="517">
        <f t="shared" si="17"/>
        <v>46419</v>
      </c>
    </row>
    <row r="31" spans="2:8" ht="16" thickTop="1" x14ac:dyDescent="0.2">
      <c r="B31" s="528" t="s">
        <v>30</v>
      </c>
      <c r="C31" s="512"/>
      <c r="D31" s="512"/>
      <c r="E31" s="512"/>
      <c r="F31" s="512"/>
      <c r="G31" s="512"/>
      <c r="H31" s="512"/>
    </row>
    <row r="32" spans="2:8" ht="15" x14ac:dyDescent="0.2">
      <c r="B32" s="510" t="s">
        <v>30</v>
      </c>
      <c r="C32" s="512"/>
      <c r="D32" s="512"/>
      <c r="E32" s="512"/>
      <c r="F32" s="512"/>
      <c r="G32" s="512"/>
      <c r="H32" s="512"/>
    </row>
    <row r="33" spans="2:8" x14ac:dyDescent="0.2">
      <c r="B33" s="510"/>
      <c r="C33" s="512"/>
      <c r="D33" s="512"/>
      <c r="E33" s="512"/>
      <c r="F33" s="512"/>
      <c r="G33" s="512"/>
      <c r="H33" s="512"/>
    </row>
    <row r="34" spans="2:8" ht="15" x14ac:dyDescent="0.2">
      <c r="B34" s="514" t="s">
        <v>31</v>
      </c>
      <c r="C34" s="527">
        <f t="shared" ref="C34:H34" si="18">SUM(C31:C33)</f>
        <v>0</v>
      </c>
      <c r="D34" s="527">
        <f t="shared" si="18"/>
        <v>0</v>
      </c>
      <c r="E34" s="527">
        <f t="shared" si="18"/>
        <v>0</v>
      </c>
      <c r="F34" s="527">
        <f t="shared" si="18"/>
        <v>0</v>
      </c>
      <c r="G34" s="527">
        <f t="shared" si="18"/>
        <v>0</v>
      </c>
      <c r="H34" s="527">
        <f t="shared" si="18"/>
        <v>0</v>
      </c>
    </row>
    <row r="35" spans="2:8" x14ac:dyDescent="0.2">
      <c r="B35" s="530"/>
      <c r="C35" s="531"/>
      <c r="D35" s="531"/>
      <c r="E35" s="531"/>
      <c r="F35" s="531"/>
      <c r="G35" s="531"/>
      <c r="H35" s="531"/>
    </row>
    <row r="36" spans="2:8" ht="19" thickBot="1" x14ac:dyDescent="0.25">
      <c r="B36" s="532" t="s">
        <v>32</v>
      </c>
      <c r="C36" s="533">
        <f t="shared" ref="C36:H36" si="19">C34+C28+C22+C16+C9</f>
        <v>30000</v>
      </c>
      <c r="D36" s="533">
        <f t="shared" si="19"/>
        <v>60000</v>
      </c>
      <c r="E36" s="533">
        <f t="shared" si="19"/>
        <v>120000</v>
      </c>
      <c r="F36" s="533">
        <f t="shared" si="19"/>
        <v>500000</v>
      </c>
      <c r="G36" s="533">
        <f t="shared" si="19"/>
        <v>700000</v>
      </c>
      <c r="H36" s="533">
        <f t="shared" si="19"/>
        <v>1000000</v>
      </c>
    </row>
    <row r="37" spans="2:8" ht="19" thickTop="1" thickBot="1" x14ac:dyDescent="0.25">
      <c r="B37" s="534"/>
      <c r="C37" s="535"/>
      <c r="D37" s="535"/>
      <c r="E37" s="535"/>
      <c r="F37" s="535"/>
      <c r="G37" s="535"/>
      <c r="H37" s="535"/>
    </row>
    <row r="38" spans="2:8" ht="17" thickTop="1" x14ac:dyDescent="0.2">
      <c r="B38" s="506" t="s">
        <v>33</v>
      </c>
      <c r="C38" s="531"/>
      <c r="D38" s="531"/>
      <c r="E38" s="531"/>
      <c r="F38" s="531"/>
      <c r="G38" s="531"/>
      <c r="H38" s="531"/>
    </row>
    <row r="39" spans="2:8" ht="16" thickBot="1" x14ac:dyDescent="0.25">
      <c r="B39" s="536" t="s">
        <v>210</v>
      </c>
      <c r="C39" s="537">
        <f t="shared" ref="C39:H39" si="20">+C5</f>
        <v>44959</v>
      </c>
      <c r="D39" s="537">
        <f t="shared" si="20"/>
        <v>45444</v>
      </c>
      <c r="E39" s="537">
        <f t="shared" si="20"/>
        <v>45323</v>
      </c>
      <c r="F39" s="537">
        <f t="shared" si="20"/>
        <v>45689</v>
      </c>
      <c r="G39" s="537">
        <f t="shared" si="20"/>
        <v>46054</v>
      </c>
      <c r="H39" s="537">
        <f t="shared" si="20"/>
        <v>46419</v>
      </c>
    </row>
    <row r="40" spans="2:8" ht="16" thickTop="1" x14ac:dyDescent="0.2">
      <c r="B40" s="538" t="s">
        <v>222</v>
      </c>
      <c r="C40" s="539">
        <v>60000</v>
      </c>
      <c r="D40" s="539">
        <v>35000</v>
      </c>
      <c r="E40" s="539">
        <v>35000</v>
      </c>
      <c r="F40" s="539">
        <v>280000</v>
      </c>
      <c r="G40" s="539">
        <v>250000</v>
      </c>
      <c r="H40" s="539">
        <v>225000</v>
      </c>
    </row>
    <row r="41" spans="2:8" ht="15" x14ac:dyDescent="0.2">
      <c r="B41" s="538" t="s">
        <v>34</v>
      </c>
      <c r="C41" s="539"/>
      <c r="D41" s="539"/>
      <c r="E41" s="539"/>
      <c r="F41" s="539"/>
      <c r="G41" s="539"/>
      <c r="H41" s="539"/>
    </row>
    <row r="42" spans="2:8" ht="15" x14ac:dyDescent="0.2">
      <c r="B42" s="538" t="s">
        <v>35</v>
      </c>
      <c r="C42" s="539"/>
      <c r="D42" s="539"/>
      <c r="E42" s="539"/>
      <c r="F42" s="539"/>
      <c r="G42" s="539"/>
      <c r="H42" s="539"/>
    </row>
    <row r="43" spans="2:8" ht="15" x14ac:dyDescent="0.2">
      <c r="B43" s="538" t="s">
        <v>223</v>
      </c>
      <c r="C43" s="539"/>
      <c r="D43" s="539"/>
      <c r="E43" s="539"/>
      <c r="F43" s="539"/>
      <c r="G43" s="539"/>
      <c r="H43" s="539"/>
    </row>
    <row r="44" spans="2:8" ht="15" thickBot="1" x14ac:dyDescent="0.25">
      <c r="B44" s="538"/>
      <c r="C44" s="539"/>
      <c r="D44" s="539"/>
      <c r="E44" s="539"/>
      <c r="F44" s="539"/>
      <c r="G44" s="539"/>
      <c r="H44" s="539"/>
    </row>
    <row r="45" spans="2:8" ht="16" thickTop="1" x14ac:dyDescent="0.2">
      <c r="B45" s="540" t="s">
        <v>212</v>
      </c>
      <c r="C45" s="541">
        <f>SUM(C40:C44)</f>
        <v>60000</v>
      </c>
      <c r="D45" s="541">
        <f t="shared" ref="D45:H45" si="21">SUM(D40:D44)</f>
        <v>35000</v>
      </c>
      <c r="E45" s="541">
        <f t="shared" si="21"/>
        <v>35000</v>
      </c>
      <c r="F45" s="541">
        <f t="shared" si="21"/>
        <v>280000</v>
      </c>
      <c r="G45" s="541">
        <f t="shared" si="21"/>
        <v>250000</v>
      </c>
      <c r="H45" s="542">
        <f t="shared" si="21"/>
        <v>225000</v>
      </c>
    </row>
    <row r="46" spans="2:8" s="516" customFormat="1" x14ac:dyDescent="0.2">
      <c r="C46" s="543">
        <f>C45*-1</f>
        <v>-60000</v>
      </c>
      <c r="D46" s="543">
        <f t="shared" ref="D46:H46" si="22">D45*-1</f>
        <v>-35000</v>
      </c>
      <c r="E46" s="543">
        <f t="shared" si="22"/>
        <v>-35000</v>
      </c>
      <c r="F46" s="543">
        <f t="shared" si="22"/>
        <v>-280000</v>
      </c>
      <c r="G46" s="543">
        <f t="shared" si="22"/>
        <v>-250000</v>
      </c>
      <c r="H46" s="543">
        <f t="shared" si="22"/>
        <v>-225000</v>
      </c>
    </row>
    <row r="47" spans="2:8" ht="16" thickBot="1" x14ac:dyDescent="0.25">
      <c r="B47" s="536" t="s">
        <v>211</v>
      </c>
      <c r="C47" s="537">
        <f t="shared" ref="C47:H47" si="23">+C5</f>
        <v>44959</v>
      </c>
      <c r="D47" s="537">
        <f t="shared" si="23"/>
        <v>45444</v>
      </c>
      <c r="E47" s="537">
        <f t="shared" si="23"/>
        <v>45323</v>
      </c>
      <c r="F47" s="537">
        <f t="shared" si="23"/>
        <v>45689</v>
      </c>
      <c r="G47" s="537">
        <f t="shared" si="23"/>
        <v>46054</v>
      </c>
      <c r="H47" s="537">
        <f t="shared" si="23"/>
        <v>46419</v>
      </c>
    </row>
    <row r="48" spans="2:8" ht="16" thickTop="1" x14ac:dyDescent="0.2">
      <c r="B48" s="538" t="s">
        <v>556</v>
      </c>
      <c r="C48" s="539"/>
      <c r="D48" s="539"/>
      <c r="E48" s="539"/>
      <c r="F48" s="539"/>
      <c r="G48" s="539"/>
      <c r="H48" s="539"/>
    </row>
    <row r="49" spans="2:8" x14ac:dyDescent="0.2">
      <c r="B49" s="538"/>
      <c r="C49" s="539"/>
      <c r="D49" s="539"/>
      <c r="E49" s="539"/>
      <c r="F49" s="539"/>
      <c r="G49" s="539"/>
      <c r="H49" s="539"/>
    </row>
    <row r="50" spans="2:8" x14ac:dyDescent="0.2">
      <c r="B50" s="538"/>
      <c r="C50" s="539"/>
      <c r="D50" s="539"/>
      <c r="E50" s="539"/>
      <c r="F50" s="539"/>
      <c r="G50" s="539"/>
      <c r="H50" s="539"/>
    </row>
    <row r="51" spans="2:8" ht="15" x14ac:dyDescent="0.2">
      <c r="B51" s="540" t="s">
        <v>36</v>
      </c>
      <c r="C51" s="541">
        <f t="shared" ref="C51:F51" si="24">SUM(C48:C50)</f>
        <v>0</v>
      </c>
      <c r="D51" s="541">
        <f t="shared" si="24"/>
        <v>0</v>
      </c>
      <c r="E51" s="541">
        <f t="shared" si="24"/>
        <v>0</v>
      </c>
      <c r="F51" s="541">
        <f t="shared" si="24"/>
        <v>0</v>
      </c>
      <c r="G51" s="541">
        <f>SUM(G48:G50)</f>
        <v>0</v>
      </c>
      <c r="H51" s="541">
        <f t="shared" ref="H51" si="25">SUM(H48:H50)</f>
        <v>0</v>
      </c>
    </row>
    <row r="52" spans="2:8" s="516" customFormat="1" x14ac:dyDescent="0.2">
      <c r="B52" s="544"/>
      <c r="C52" s="545">
        <f>C51*-1</f>
        <v>0</v>
      </c>
      <c r="D52" s="545">
        <f t="shared" ref="D52:H52" si="26">D51*-1</f>
        <v>0</v>
      </c>
      <c r="E52" s="545">
        <f t="shared" si="26"/>
        <v>0</v>
      </c>
      <c r="F52" s="545">
        <f t="shared" si="26"/>
        <v>0</v>
      </c>
      <c r="G52" s="545">
        <f t="shared" si="26"/>
        <v>0</v>
      </c>
      <c r="H52" s="545">
        <f t="shared" si="26"/>
        <v>0</v>
      </c>
    </row>
    <row r="53" spans="2:8" ht="19" thickBot="1" x14ac:dyDescent="0.25">
      <c r="B53" s="546" t="s">
        <v>37</v>
      </c>
      <c r="C53" s="547">
        <f t="shared" ref="C53:H53" si="27">C45+C51</f>
        <v>60000</v>
      </c>
      <c r="D53" s="547">
        <f t="shared" si="27"/>
        <v>35000</v>
      </c>
      <c r="E53" s="547">
        <f t="shared" si="27"/>
        <v>35000</v>
      </c>
      <c r="F53" s="547">
        <f t="shared" si="27"/>
        <v>280000</v>
      </c>
      <c r="G53" s="547">
        <f t="shared" si="27"/>
        <v>250000</v>
      </c>
      <c r="H53" s="547">
        <f t="shared" si="27"/>
        <v>225000</v>
      </c>
    </row>
    <row r="54" spans="2:8" s="516" customFormat="1" ht="18" thickTop="1" x14ac:dyDescent="0.2">
      <c r="B54" s="548"/>
      <c r="C54" s="549">
        <f>-C53</f>
        <v>-60000</v>
      </c>
      <c r="D54" s="549">
        <f t="shared" ref="D54:H54" si="28">-D53</f>
        <v>-35000</v>
      </c>
      <c r="E54" s="549">
        <f t="shared" si="28"/>
        <v>-35000</v>
      </c>
      <c r="F54" s="549">
        <f t="shared" si="28"/>
        <v>-280000</v>
      </c>
      <c r="G54" s="549">
        <f t="shared" si="28"/>
        <v>-250000</v>
      </c>
      <c r="H54" s="549">
        <f t="shared" si="28"/>
        <v>-225000</v>
      </c>
    </row>
    <row r="55" spans="2:8" x14ac:dyDescent="0.2">
      <c r="C55" s="550"/>
      <c r="D55" s="550"/>
      <c r="E55" s="550"/>
      <c r="F55" s="550"/>
      <c r="G55" s="550"/>
      <c r="H55" s="550"/>
    </row>
    <row r="56" spans="2:8" ht="17" x14ac:dyDescent="0.2">
      <c r="B56" s="551" t="s">
        <v>38</v>
      </c>
      <c r="C56" s="552">
        <f t="shared" ref="C56:H56" si="29">+C36-C53</f>
        <v>-30000</v>
      </c>
      <c r="D56" s="552">
        <f t="shared" si="29"/>
        <v>25000</v>
      </c>
      <c r="E56" s="552">
        <f t="shared" si="29"/>
        <v>85000</v>
      </c>
      <c r="F56" s="552">
        <f t="shared" si="29"/>
        <v>220000</v>
      </c>
      <c r="G56" s="552">
        <f t="shared" si="29"/>
        <v>450000</v>
      </c>
      <c r="H56" s="552">
        <f t="shared" si="29"/>
        <v>775000</v>
      </c>
    </row>
    <row r="57" spans="2:8" x14ac:dyDescent="0.2">
      <c r="B57" s="553" t="s">
        <v>39</v>
      </c>
      <c r="D57" s="550">
        <f>D56-C56</f>
        <v>55000</v>
      </c>
      <c r="E57" s="550">
        <f t="shared" ref="E57:G57" si="30">E56-D56</f>
        <v>60000</v>
      </c>
      <c r="F57" s="550">
        <f t="shared" si="30"/>
        <v>135000</v>
      </c>
      <c r="G57" s="550">
        <f t="shared" si="30"/>
        <v>230000</v>
      </c>
      <c r="H57" s="550">
        <f t="shared" ref="H57" si="31">H56-G56</f>
        <v>325000</v>
      </c>
    </row>
    <row r="58" spans="2:8" x14ac:dyDescent="0.2">
      <c r="B58" s="553" t="s">
        <v>40</v>
      </c>
      <c r="C58" s="554"/>
      <c r="D58" s="555">
        <f>D57/C56</f>
        <v>-1.8333333333333333</v>
      </c>
      <c r="E58" s="555">
        <f t="shared" ref="E58:F58" si="32">E57/D56</f>
        <v>2.4</v>
      </c>
      <c r="F58" s="555">
        <f t="shared" si="32"/>
        <v>1.588235294117647</v>
      </c>
      <c r="G58" s="555">
        <f t="shared" ref="G58" si="33">G57/F56</f>
        <v>1.0454545454545454</v>
      </c>
      <c r="H58" s="555">
        <f t="shared" ref="H58" si="34">H57/G56</f>
        <v>0.72222222222222221</v>
      </c>
    </row>
    <row r="60" spans="2:8" ht="16" thickBot="1" x14ac:dyDescent="0.25">
      <c r="B60" s="556" t="s">
        <v>41</v>
      </c>
      <c r="C60" s="519">
        <f t="shared" ref="C60:H60" si="35">+C5</f>
        <v>44959</v>
      </c>
      <c r="D60" s="519">
        <f t="shared" si="35"/>
        <v>45444</v>
      </c>
      <c r="E60" s="519">
        <f t="shared" si="35"/>
        <v>45323</v>
      </c>
      <c r="F60" s="519">
        <f t="shared" si="35"/>
        <v>45689</v>
      </c>
      <c r="G60" s="519">
        <f t="shared" si="35"/>
        <v>46054</v>
      </c>
      <c r="H60" s="519">
        <f t="shared" si="35"/>
        <v>46419</v>
      </c>
    </row>
    <row r="61" spans="2:8" ht="61.5" customHeight="1" thickTop="1" x14ac:dyDescent="0.2">
      <c r="B61" s="520"/>
      <c r="C61" s="557"/>
      <c r="D61" s="557"/>
      <c r="E61" s="558"/>
      <c r="F61" s="557"/>
      <c r="G61" s="558"/>
      <c r="H61" s="558"/>
    </row>
    <row r="62" spans="2:8" ht="35.25" customHeight="1" x14ac:dyDescent="0.2">
      <c r="B62" s="520"/>
      <c r="C62" s="558"/>
      <c r="D62" s="558"/>
      <c r="E62" s="558"/>
      <c r="F62" s="558"/>
      <c r="G62" s="558"/>
      <c r="H62" s="558"/>
    </row>
    <row r="63" spans="2:8" ht="35.25" customHeight="1" x14ac:dyDescent="0.2">
      <c r="B63" s="520"/>
      <c r="C63" s="558"/>
      <c r="D63" s="558"/>
      <c r="E63" s="558"/>
      <c r="F63" s="558"/>
      <c r="G63" s="558"/>
      <c r="H63" s="558"/>
    </row>
  </sheetData>
  <sheetProtection formatColumns="0" formatRows="0" insertColumns="0" insertRows="0" deleteColumns="0" deleteRows="0" selectLockedCells="1"/>
  <mergeCells count="1">
    <mergeCell ref="B2:E2"/>
  </mergeCells>
  <phoneticPr fontId="0" type="noConversion"/>
  <conditionalFormatting sqref="C56">
    <cfRule type="cellIs" dxfId="83" priority="9" operator="lessThan">
      <formula>0</formula>
    </cfRule>
  </conditionalFormatting>
  <conditionalFormatting sqref="D56">
    <cfRule type="cellIs" dxfId="82" priority="8" operator="lessThan">
      <formula>0</formula>
    </cfRule>
  </conditionalFormatting>
  <conditionalFormatting sqref="E56">
    <cfRule type="cellIs" dxfId="81" priority="7" operator="lessThan">
      <formula>0</formula>
    </cfRule>
  </conditionalFormatting>
  <conditionalFormatting sqref="F56">
    <cfRule type="cellIs" dxfId="80" priority="6" operator="lessThan">
      <formula>0</formula>
    </cfRule>
  </conditionalFormatting>
  <conditionalFormatting sqref="G56">
    <cfRule type="cellIs" dxfId="79" priority="5" operator="lessThan">
      <formula>0</formula>
    </cfRule>
  </conditionalFormatting>
  <conditionalFormatting sqref="H56">
    <cfRule type="cellIs" dxfId="78" priority="4" operator="lessThan">
      <formula>0</formula>
    </cfRule>
  </conditionalFormatting>
  <printOptions horizontalCentered="1" verticalCentered="1"/>
  <pageMargins left="0.5" right="0.5" top="0.5" bottom="0.5" header="0.5" footer="0.5"/>
  <pageSetup scale="72" orientation="portrait" horizontalDpi="4294967294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621-B366-4582-85DA-E64126C7C809}">
  <sheetPr codeName="Feuil4"/>
  <dimension ref="A1:S40"/>
  <sheetViews>
    <sheetView workbookViewId="0">
      <selection activeCell="A41" sqref="A41:XFD1048576"/>
    </sheetView>
  </sheetViews>
  <sheetFormatPr baseColWidth="10" defaultColWidth="0" defaultRowHeight="14" zeroHeight="1" x14ac:dyDescent="0.2"/>
  <cols>
    <col min="1" max="19" width="11.3984375" style="560" customWidth="1"/>
    <col min="20" max="16384" width="11.3984375" style="560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</sheetData>
  <sheetProtection algorithmName="SHA-512" hashValue="FKg0aWBBTPCDRTjJq8QmnZ1e3oiSvbIZkzFs8yFsM6Zm9rXP2NajcMDqwlCrEg8ffdemg02loOCdjhLkS5vsEw==" saltValue="6Vx4R3dl6t072qufZSEpvw==" spinCount="100000" sheet="1" objects="1" scenarios="1" selectLockedCells="1" selectUn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1C63-8DD2-489A-B6FA-C91885A8EF69}">
  <sheetPr codeName="Feuil5">
    <pageSetUpPr fitToPage="1"/>
  </sheetPr>
  <dimension ref="B2:H65"/>
  <sheetViews>
    <sheetView showGridLines="0" topLeftCell="A37" zoomScale="130" zoomScaleNormal="130" zoomScaleSheetLayoutView="100" workbookViewId="0">
      <selection activeCell="C32" sqref="C32"/>
    </sheetView>
  </sheetViews>
  <sheetFormatPr baseColWidth="10" defaultColWidth="8.796875" defaultRowHeight="14" x14ac:dyDescent="0.2"/>
  <cols>
    <col min="1" max="1" width="2.796875" customWidth="1"/>
    <col min="2" max="2" width="33.796875" style="7" customWidth="1"/>
    <col min="3" max="8" width="17.59765625" style="7" customWidth="1"/>
  </cols>
  <sheetData>
    <row r="2" spans="2:8" ht="29.25" customHeight="1" thickBot="1" x14ac:dyDescent="0.25">
      <c r="B2" s="746" t="str">
        <f>+Informations!B22</f>
        <v xml:space="preserve"> </v>
      </c>
      <c r="C2" s="746"/>
      <c r="D2" s="8"/>
      <c r="E2" s="8"/>
      <c r="F2" s="8"/>
      <c r="G2" s="8"/>
      <c r="H2" s="8"/>
    </row>
    <row r="3" spans="2:8" ht="18.75" customHeight="1" thickTop="1" thickBot="1" x14ac:dyDescent="0.25">
      <c r="B3" s="243" t="str">
        <f>"Année fiscale au"&amp;" "&amp;Informations!B23</f>
        <v xml:space="preserve">Année fiscale au </v>
      </c>
      <c r="C3" s="1"/>
      <c r="D3" s="1"/>
      <c r="E3" s="1"/>
      <c r="F3" s="1"/>
      <c r="G3" s="1"/>
      <c r="H3" s="1"/>
    </row>
    <row r="4" spans="2:8" ht="17" thickTop="1" x14ac:dyDescent="0.2">
      <c r="B4" s="2" t="s">
        <v>17</v>
      </c>
    </row>
    <row r="5" spans="2:8" ht="16" thickBot="1" x14ac:dyDescent="0.25">
      <c r="B5" s="36" t="s">
        <v>18</v>
      </c>
      <c r="C5" s="37">
        <f>+'Bilan Perso'!C5</f>
        <v>44959</v>
      </c>
      <c r="D5" s="37">
        <f>+'Bilan Perso'!D5</f>
        <v>45444</v>
      </c>
      <c r="E5" s="37">
        <f>+'Bilan Perso'!E5</f>
        <v>45323</v>
      </c>
      <c r="F5" s="37">
        <f>+'Bilan Perso'!F5</f>
        <v>45689</v>
      </c>
      <c r="G5" s="37">
        <f>+'Bilan Perso'!G5</f>
        <v>46054</v>
      </c>
      <c r="H5" s="37">
        <f>+'Bilan Perso'!H5</f>
        <v>46419</v>
      </c>
    </row>
    <row r="6" spans="2:8" ht="16" thickTop="1" x14ac:dyDescent="0.2">
      <c r="B6" s="11" t="s">
        <v>19</v>
      </c>
      <c r="C6" s="180"/>
      <c r="D6" s="180"/>
      <c r="E6" s="180"/>
      <c r="F6" s="180"/>
      <c r="G6" s="180"/>
      <c r="H6" s="180"/>
    </row>
    <row r="7" spans="2:8" x14ac:dyDescent="0.2">
      <c r="B7" s="11"/>
      <c r="C7" s="180"/>
      <c r="D7" s="180"/>
      <c r="E7" s="180"/>
      <c r="F7" s="180"/>
      <c r="G7" s="180"/>
      <c r="H7" s="180"/>
    </row>
    <row r="8" spans="2:8" x14ac:dyDescent="0.2">
      <c r="B8" s="11"/>
      <c r="C8" s="180"/>
      <c r="D8" s="180"/>
      <c r="E8" s="180"/>
      <c r="F8" s="180"/>
      <c r="G8" s="180"/>
      <c r="H8" s="180"/>
    </row>
    <row r="9" spans="2:8" ht="15" x14ac:dyDescent="0.2">
      <c r="B9" s="31" t="s">
        <v>20</v>
      </c>
      <c r="C9" s="188">
        <f t="shared" ref="C9" si="0">SUM(C6:C8)</f>
        <v>0</v>
      </c>
      <c r="D9" s="188">
        <f t="shared" ref="D9:H9" si="1">SUM(D6:D8)</f>
        <v>0</v>
      </c>
      <c r="E9" s="188">
        <f t="shared" si="1"/>
        <v>0</v>
      </c>
      <c r="F9" s="188">
        <f t="shared" si="1"/>
        <v>0</v>
      </c>
      <c r="G9" s="188">
        <f t="shared" si="1"/>
        <v>0</v>
      </c>
      <c r="H9" s="188">
        <f t="shared" si="1"/>
        <v>0</v>
      </c>
    </row>
    <row r="10" spans="2:8" x14ac:dyDescent="0.2">
      <c r="B10"/>
      <c r="C10" s="164">
        <v>2021</v>
      </c>
      <c r="D10" s="164">
        <v>2022</v>
      </c>
      <c r="E10" s="164">
        <v>2023</v>
      </c>
      <c r="F10" s="164">
        <v>2024</v>
      </c>
      <c r="G10" s="164">
        <v>2025</v>
      </c>
      <c r="H10" s="164">
        <v>2026</v>
      </c>
    </row>
    <row r="11" spans="2:8" ht="16" thickBot="1" x14ac:dyDescent="0.25">
      <c r="B11" s="36" t="s">
        <v>21</v>
      </c>
      <c r="C11" s="37">
        <f>+C5</f>
        <v>44959</v>
      </c>
      <c r="D11" s="37">
        <f t="shared" ref="D11:H11" si="2">+D5</f>
        <v>45444</v>
      </c>
      <c r="E11" s="37">
        <f t="shared" si="2"/>
        <v>45323</v>
      </c>
      <c r="F11" s="37">
        <f t="shared" si="2"/>
        <v>45689</v>
      </c>
      <c r="G11" s="37">
        <f t="shared" si="2"/>
        <v>46054</v>
      </c>
      <c r="H11" s="37">
        <f t="shared" si="2"/>
        <v>46419</v>
      </c>
    </row>
    <row r="12" spans="2:8" ht="15" thickTop="1" x14ac:dyDescent="0.2">
      <c r="B12" s="11"/>
      <c r="C12" s="180"/>
      <c r="D12" s="180"/>
      <c r="E12" s="180"/>
      <c r="F12" s="180"/>
      <c r="G12" s="180"/>
      <c r="H12" s="180"/>
    </row>
    <row r="13" spans="2:8" x14ac:dyDescent="0.2">
      <c r="B13" s="11"/>
      <c r="C13" s="180"/>
      <c r="D13" s="180"/>
      <c r="E13" s="180"/>
      <c r="F13" s="180"/>
      <c r="G13" s="180"/>
      <c r="H13" s="180"/>
    </row>
    <row r="14" spans="2:8" x14ac:dyDescent="0.2">
      <c r="B14" s="9"/>
      <c r="C14" s="180"/>
      <c r="D14" s="180"/>
      <c r="E14" s="180"/>
      <c r="F14" s="180"/>
      <c r="G14" s="180"/>
      <c r="H14" s="180"/>
    </row>
    <row r="15" spans="2:8" x14ac:dyDescent="0.2">
      <c r="B15" s="11"/>
      <c r="C15" s="180"/>
      <c r="D15" s="180"/>
      <c r="E15" s="180"/>
      <c r="F15" s="180"/>
      <c r="G15" s="180"/>
      <c r="H15" s="180"/>
    </row>
    <row r="16" spans="2:8" x14ac:dyDescent="0.2">
      <c r="B16" s="11"/>
      <c r="C16" s="180"/>
      <c r="D16" s="180"/>
      <c r="E16" s="180"/>
      <c r="F16" s="180"/>
      <c r="G16" s="180"/>
      <c r="H16" s="180"/>
    </row>
    <row r="17" spans="2:8" ht="15" x14ac:dyDescent="0.2">
      <c r="B17" s="35" t="s">
        <v>23</v>
      </c>
      <c r="C17" s="188">
        <f>SUM(C12:C16)</f>
        <v>0</v>
      </c>
      <c r="D17" s="188">
        <f t="shared" ref="D17:H17" si="3">SUM(D12:D16)</f>
        <v>0</v>
      </c>
      <c r="E17" s="188">
        <f t="shared" si="3"/>
        <v>0</v>
      </c>
      <c r="F17" s="188">
        <f t="shared" si="3"/>
        <v>0</v>
      </c>
      <c r="G17" s="188">
        <f t="shared" si="3"/>
        <v>0</v>
      </c>
      <c r="H17" s="188">
        <f t="shared" si="3"/>
        <v>0</v>
      </c>
    </row>
    <row r="18" spans="2:8" x14ac:dyDescent="0.2">
      <c r="B18"/>
      <c r="C18"/>
      <c r="D18"/>
      <c r="E18"/>
      <c r="F18"/>
      <c r="G18"/>
      <c r="H18"/>
    </row>
    <row r="19" spans="2:8" ht="16" thickBot="1" x14ac:dyDescent="0.25">
      <c r="B19" s="36" t="s">
        <v>24</v>
      </c>
      <c r="C19" s="37">
        <f>+C5</f>
        <v>44959</v>
      </c>
      <c r="D19" s="37">
        <f t="shared" ref="D19:H19" si="4">+D5</f>
        <v>45444</v>
      </c>
      <c r="E19" s="37">
        <f t="shared" si="4"/>
        <v>45323</v>
      </c>
      <c r="F19" s="37">
        <f t="shared" si="4"/>
        <v>45689</v>
      </c>
      <c r="G19" s="37">
        <f t="shared" si="4"/>
        <v>46054</v>
      </c>
      <c r="H19" s="37">
        <f t="shared" si="4"/>
        <v>46419</v>
      </c>
    </row>
    <row r="20" spans="2:8" ht="16" thickTop="1" x14ac:dyDescent="0.2">
      <c r="B20" s="11" t="s">
        <v>213</v>
      </c>
      <c r="C20" s="180"/>
      <c r="D20" s="180"/>
      <c r="E20" s="180"/>
      <c r="F20" s="180"/>
      <c r="G20" s="180"/>
      <c r="H20" s="180"/>
    </row>
    <row r="21" spans="2:8" x14ac:dyDescent="0.2">
      <c r="B21" s="11"/>
      <c r="C21" s="180"/>
      <c r="D21" s="180"/>
      <c r="E21" s="180"/>
      <c r="F21" s="180"/>
      <c r="G21" s="180"/>
      <c r="H21" s="180"/>
    </row>
    <row r="22" spans="2:8" x14ac:dyDescent="0.2">
      <c r="B22" s="11"/>
      <c r="C22" s="180"/>
      <c r="D22" s="180"/>
      <c r="E22" s="180"/>
      <c r="F22" s="180"/>
      <c r="G22" s="180"/>
      <c r="H22" s="180"/>
    </row>
    <row r="23" spans="2:8" ht="15" x14ac:dyDescent="0.2">
      <c r="B23" s="35" t="s">
        <v>26</v>
      </c>
      <c r="C23" s="188">
        <f t="shared" ref="C23:H23" si="5">SUM(C20:C22)</f>
        <v>0</v>
      </c>
      <c r="D23" s="188">
        <f t="shared" si="5"/>
        <v>0</v>
      </c>
      <c r="E23" s="188">
        <f t="shared" si="5"/>
        <v>0</v>
      </c>
      <c r="F23" s="188">
        <f t="shared" si="5"/>
        <v>0</v>
      </c>
      <c r="G23" s="188">
        <f t="shared" si="5"/>
        <v>0</v>
      </c>
      <c r="H23" s="188">
        <f t="shared" si="5"/>
        <v>0</v>
      </c>
    </row>
    <row r="24" spans="2:8" x14ac:dyDescent="0.2">
      <c r="B24"/>
      <c r="C24"/>
      <c r="D24"/>
      <c r="E24"/>
      <c r="F24"/>
      <c r="G24"/>
      <c r="H24"/>
    </row>
    <row r="25" spans="2:8" ht="16" thickBot="1" x14ac:dyDescent="0.25">
      <c r="B25" s="36" t="s">
        <v>27</v>
      </c>
      <c r="C25" s="37">
        <f>+C5</f>
        <v>44959</v>
      </c>
      <c r="D25" s="37">
        <f t="shared" ref="D25:H25" si="6">+D5</f>
        <v>45444</v>
      </c>
      <c r="E25" s="37">
        <f t="shared" si="6"/>
        <v>45323</v>
      </c>
      <c r="F25" s="37">
        <f t="shared" si="6"/>
        <v>45689</v>
      </c>
      <c r="G25" s="37">
        <f t="shared" si="6"/>
        <v>46054</v>
      </c>
      <c r="H25" s="37">
        <f t="shared" si="6"/>
        <v>46419</v>
      </c>
    </row>
    <row r="26" spans="2:8" ht="16" thickTop="1" x14ac:dyDescent="0.2">
      <c r="B26" s="9" t="s">
        <v>214</v>
      </c>
      <c r="C26" s="180"/>
      <c r="D26" s="180"/>
      <c r="E26" s="180"/>
      <c r="F26" s="180"/>
      <c r="G26" s="180"/>
      <c r="H26" s="180"/>
    </row>
    <row r="27" spans="2:8" ht="15" x14ac:dyDescent="0.2">
      <c r="B27" s="11" t="s">
        <v>215</v>
      </c>
      <c r="C27" s="180">
        <v>-10000</v>
      </c>
      <c r="D27" s="180"/>
      <c r="E27" s="180"/>
      <c r="F27" s="180"/>
      <c r="G27" s="180"/>
      <c r="H27" s="180"/>
    </row>
    <row r="28" spans="2:8" x14ac:dyDescent="0.2">
      <c r="B28" s="11"/>
      <c r="C28" s="180"/>
      <c r="D28" s="180"/>
      <c r="E28" s="180"/>
      <c r="F28" s="180"/>
      <c r="G28" s="180"/>
      <c r="H28" s="180"/>
    </row>
    <row r="29" spans="2:8" ht="15" x14ac:dyDescent="0.2">
      <c r="B29" s="31" t="s">
        <v>28</v>
      </c>
      <c r="C29" s="188">
        <f t="shared" ref="C29:H29" si="7">SUM(C26:C28)</f>
        <v>-10000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  <c r="H29" s="188">
        <f t="shared" si="7"/>
        <v>0</v>
      </c>
    </row>
    <row r="30" spans="2:8" ht="18.75" customHeight="1" x14ac:dyDescent="0.2">
      <c r="B30"/>
      <c r="C30"/>
      <c r="D30"/>
      <c r="E30"/>
      <c r="F30"/>
      <c r="G30"/>
      <c r="H30"/>
    </row>
    <row r="31" spans="2:8" ht="16" thickBot="1" x14ac:dyDescent="0.25">
      <c r="B31" s="36" t="s">
        <v>29</v>
      </c>
      <c r="C31" s="37">
        <f t="shared" ref="C31:H31" si="8">+C5</f>
        <v>44959</v>
      </c>
      <c r="D31" s="37">
        <f t="shared" si="8"/>
        <v>45444</v>
      </c>
      <c r="E31" s="37">
        <f t="shared" si="8"/>
        <v>45323</v>
      </c>
      <c r="F31" s="37">
        <f t="shared" si="8"/>
        <v>45689</v>
      </c>
      <c r="G31" s="37">
        <f t="shared" si="8"/>
        <v>46054</v>
      </c>
      <c r="H31" s="37">
        <f t="shared" si="8"/>
        <v>46419</v>
      </c>
    </row>
    <row r="32" spans="2:8" ht="15" thickTop="1" x14ac:dyDescent="0.2">
      <c r="B32" s="9"/>
      <c r="C32" s="180"/>
      <c r="D32" s="180"/>
      <c r="E32" s="180"/>
      <c r="F32" s="180"/>
      <c r="G32" s="180"/>
      <c r="H32" s="180"/>
    </row>
    <row r="33" spans="2:8" x14ac:dyDescent="0.2">
      <c r="B33" s="11"/>
      <c r="C33" s="180"/>
      <c r="D33" s="180"/>
      <c r="E33" s="180"/>
      <c r="F33" s="180"/>
      <c r="G33" s="180"/>
      <c r="H33" s="180"/>
    </row>
    <row r="34" spans="2:8" x14ac:dyDescent="0.2">
      <c r="B34" s="11"/>
      <c r="C34" s="180"/>
      <c r="D34" s="180"/>
      <c r="E34" s="180"/>
      <c r="F34" s="180"/>
      <c r="G34" s="180"/>
      <c r="H34" s="180"/>
    </row>
    <row r="35" spans="2:8" ht="15" x14ac:dyDescent="0.2">
      <c r="B35" s="31" t="s">
        <v>31</v>
      </c>
      <c r="C35" s="188">
        <f t="shared" ref="C35:H35" si="9">SUM(C32:C34)</f>
        <v>0</v>
      </c>
      <c r="D35" s="188">
        <f t="shared" si="9"/>
        <v>0</v>
      </c>
      <c r="E35" s="188">
        <f t="shared" si="9"/>
        <v>0</v>
      </c>
      <c r="F35" s="188">
        <f t="shared" si="9"/>
        <v>0</v>
      </c>
      <c r="G35" s="188">
        <f t="shared" si="9"/>
        <v>0</v>
      </c>
      <c r="H35" s="188">
        <f t="shared" si="9"/>
        <v>0</v>
      </c>
    </row>
    <row r="36" spans="2:8" x14ac:dyDescent="0.2">
      <c r="B36" s="3"/>
      <c r="C36" s="4"/>
      <c r="D36" s="4"/>
      <c r="E36" s="4"/>
      <c r="F36" s="4"/>
      <c r="G36" s="4"/>
      <c r="H36" s="4"/>
    </row>
    <row r="37" spans="2:8" ht="19" thickBot="1" x14ac:dyDescent="0.25">
      <c r="B37" s="218" t="s">
        <v>32</v>
      </c>
      <c r="C37" s="181">
        <f>C35+C29+C23+C17+C9</f>
        <v>-10000</v>
      </c>
      <c r="D37" s="181">
        <f t="shared" ref="D37:H37" si="10">D35+D29+D23+D17+D9</f>
        <v>0</v>
      </c>
      <c r="E37" s="181">
        <f t="shared" si="10"/>
        <v>0</v>
      </c>
      <c r="F37" s="181">
        <f t="shared" si="10"/>
        <v>0</v>
      </c>
      <c r="G37" s="181">
        <f t="shared" si="10"/>
        <v>0</v>
      </c>
      <c r="H37" s="181">
        <f t="shared" si="10"/>
        <v>0</v>
      </c>
    </row>
    <row r="38" spans="2:8" ht="19" thickTop="1" thickBot="1" x14ac:dyDescent="0.25">
      <c r="B38" s="5"/>
      <c r="C38" s="6"/>
      <c r="D38" s="6"/>
      <c r="E38" s="6"/>
      <c r="F38" s="6"/>
      <c r="G38" s="6"/>
      <c r="H38" s="6"/>
    </row>
    <row r="39" spans="2:8" ht="17" thickTop="1" x14ac:dyDescent="0.2">
      <c r="B39" s="34" t="s">
        <v>33</v>
      </c>
      <c r="C39" s="4"/>
      <c r="D39" s="4"/>
      <c r="E39" s="4"/>
      <c r="F39" s="4"/>
      <c r="G39" s="4"/>
      <c r="H39" s="4"/>
    </row>
    <row r="40" spans="2:8" ht="16" thickBot="1" x14ac:dyDescent="0.25">
      <c r="B40" s="39" t="s">
        <v>210</v>
      </c>
      <c r="C40" s="38">
        <f t="shared" ref="C40:H40" si="11">+C5</f>
        <v>44959</v>
      </c>
      <c r="D40" s="38">
        <f t="shared" si="11"/>
        <v>45444</v>
      </c>
      <c r="E40" s="38">
        <f t="shared" si="11"/>
        <v>45323</v>
      </c>
      <c r="F40" s="38">
        <f t="shared" si="11"/>
        <v>45689</v>
      </c>
      <c r="G40" s="38">
        <f t="shared" si="11"/>
        <v>46054</v>
      </c>
      <c r="H40" s="38">
        <f t="shared" si="11"/>
        <v>46419</v>
      </c>
    </row>
    <row r="41" spans="2:8" ht="15" thickTop="1" x14ac:dyDescent="0.2">
      <c r="B41" s="10"/>
      <c r="C41" s="182"/>
      <c r="D41" s="182"/>
      <c r="E41" s="182"/>
      <c r="F41" s="182"/>
      <c r="G41" s="182"/>
      <c r="H41" s="182"/>
    </row>
    <row r="42" spans="2:8" x14ac:dyDescent="0.2">
      <c r="B42" s="10"/>
      <c r="C42" s="182"/>
      <c r="D42" s="182"/>
      <c r="E42" s="182"/>
      <c r="F42" s="182"/>
      <c r="G42" s="182"/>
      <c r="H42" s="182"/>
    </row>
    <row r="43" spans="2:8" x14ac:dyDescent="0.2">
      <c r="B43" s="10"/>
      <c r="C43" s="182"/>
      <c r="D43" s="182"/>
      <c r="E43" s="182"/>
      <c r="F43" s="182"/>
      <c r="G43" s="182"/>
      <c r="H43" s="182"/>
    </row>
    <row r="44" spans="2:8" x14ac:dyDescent="0.2">
      <c r="B44" s="10"/>
      <c r="C44" s="182"/>
      <c r="D44" s="182"/>
      <c r="E44" s="182"/>
      <c r="F44" s="182"/>
      <c r="G44" s="182"/>
      <c r="H44" s="182"/>
    </row>
    <row r="45" spans="2:8" ht="16" thickBot="1" x14ac:dyDescent="0.25">
      <c r="B45" s="10" t="s">
        <v>220</v>
      </c>
      <c r="C45" s="182"/>
      <c r="D45" s="182"/>
      <c r="E45" s="182"/>
      <c r="F45" s="182"/>
      <c r="G45" s="182"/>
      <c r="H45" s="182"/>
    </row>
    <row r="46" spans="2:8" ht="16" thickTop="1" x14ac:dyDescent="0.2">
      <c r="B46" s="32" t="s">
        <v>212</v>
      </c>
      <c r="C46" s="211">
        <f>SUM(C41:C45)</f>
        <v>0</v>
      </c>
      <c r="D46" s="211">
        <f t="shared" ref="D46:H46" si="12">SUM(D41:D45)</f>
        <v>0</v>
      </c>
      <c r="E46" s="211">
        <f t="shared" si="12"/>
        <v>0</v>
      </c>
      <c r="F46" s="211">
        <f t="shared" si="12"/>
        <v>0</v>
      </c>
      <c r="G46" s="211">
        <f t="shared" si="12"/>
        <v>0</v>
      </c>
      <c r="H46" s="212">
        <f t="shared" si="12"/>
        <v>0</v>
      </c>
    </row>
    <row r="47" spans="2:8" s="164" customFormat="1" x14ac:dyDescent="0.2">
      <c r="C47" s="215">
        <f>C46*-1</f>
        <v>0</v>
      </c>
      <c r="D47" s="215">
        <f t="shared" ref="D47:H47" si="13">D46*-1</f>
        <v>0</v>
      </c>
      <c r="E47" s="215">
        <f t="shared" si="13"/>
        <v>0</v>
      </c>
      <c r="F47" s="215">
        <f t="shared" si="13"/>
        <v>0</v>
      </c>
      <c r="G47" s="215">
        <f t="shared" si="13"/>
        <v>0</v>
      </c>
      <c r="H47" s="215">
        <f t="shared" si="13"/>
        <v>0</v>
      </c>
    </row>
    <row r="48" spans="2:8" ht="16" thickBot="1" x14ac:dyDescent="0.25">
      <c r="B48" s="39" t="s">
        <v>211</v>
      </c>
      <c r="C48" s="38">
        <f t="shared" ref="C48:H48" si="14">+C5</f>
        <v>44959</v>
      </c>
      <c r="D48" s="38">
        <f t="shared" si="14"/>
        <v>45444</v>
      </c>
      <c r="E48" s="38">
        <f t="shared" si="14"/>
        <v>45323</v>
      </c>
      <c r="F48" s="38">
        <f t="shared" si="14"/>
        <v>45689</v>
      </c>
      <c r="G48" s="38">
        <f t="shared" si="14"/>
        <v>46054</v>
      </c>
      <c r="H48" s="38">
        <f t="shared" si="14"/>
        <v>46419</v>
      </c>
    </row>
    <row r="49" spans="2:8" ht="15" thickTop="1" x14ac:dyDescent="0.2">
      <c r="B49" s="10"/>
      <c r="C49" s="182"/>
      <c r="D49" s="182"/>
      <c r="E49" s="182"/>
      <c r="F49" s="182"/>
      <c r="G49" s="182"/>
      <c r="H49" s="182"/>
    </row>
    <row r="50" spans="2:8" x14ac:dyDescent="0.2">
      <c r="B50" s="10"/>
      <c r="C50" s="182"/>
      <c r="D50" s="182"/>
      <c r="E50" s="182"/>
      <c r="F50" s="182"/>
      <c r="G50" s="182"/>
      <c r="H50" s="182"/>
    </row>
    <row r="51" spans="2:8" x14ac:dyDescent="0.2">
      <c r="B51" s="10"/>
      <c r="C51" s="182"/>
      <c r="D51" s="182"/>
      <c r="E51" s="182"/>
      <c r="F51" s="182"/>
      <c r="G51" s="182"/>
      <c r="H51" s="182"/>
    </row>
    <row r="52" spans="2:8" ht="15" x14ac:dyDescent="0.2">
      <c r="B52" s="32" t="s">
        <v>36</v>
      </c>
      <c r="C52" s="211">
        <f t="shared" ref="C52:F52" si="15">SUM(C49:C51)</f>
        <v>0</v>
      </c>
      <c r="D52" s="211">
        <f t="shared" si="15"/>
        <v>0</v>
      </c>
      <c r="E52" s="211">
        <f t="shared" si="15"/>
        <v>0</v>
      </c>
      <c r="F52" s="211">
        <f t="shared" si="15"/>
        <v>0</v>
      </c>
      <c r="G52" s="211">
        <f>SUM(G49:G51)</f>
        <v>0</v>
      </c>
      <c r="H52" s="211">
        <f t="shared" ref="H52" si="16">SUM(H49:H51)</f>
        <v>0</v>
      </c>
    </row>
    <row r="53" spans="2:8" s="164" customFormat="1" x14ac:dyDescent="0.2">
      <c r="B53" s="216"/>
      <c r="C53" s="217">
        <f>C52*-1</f>
        <v>0</v>
      </c>
      <c r="D53" s="217">
        <f t="shared" ref="D53:H53" si="17">D52*-1</f>
        <v>0</v>
      </c>
      <c r="E53" s="217">
        <f t="shared" si="17"/>
        <v>0</v>
      </c>
      <c r="F53" s="217">
        <f t="shared" si="17"/>
        <v>0</v>
      </c>
      <c r="G53" s="217">
        <f t="shared" si="17"/>
        <v>0</v>
      </c>
      <c r="H53" s="217">
        <f t="shared" si="17"/>
        <v>0</v>
      </c>
    </row>
    <row r="54" spans="2:8" ht="19" thickBot="1" x14ac:dyDescent="0.25">
      <c r="B54" s="33" t="s">
        <v>37</v>
      </c>
      <c r="C54" s="183">
        <f t="shared" ref="C54:H54" si="18">C46+C52</f>
        <v>0</v>
      </c>
      <c r="D54" s="183">
        <f t="shared" si="18"/>
        <v>0</v>
      </c>
      <c r="E54" s="183">
        <f t="shared" si="18"/>
        <v>0</v>
      </c>
      <c r="F54" s="183">
        <f t="shared" si="18"/>
        <v>0</v>
      </c>
      <c r="G54" s="183">
        <f t="shared" si="18"/>
        <v>0</v>
      </c>
      <c r="H54" s="183">
        <f t="shared" si="18"/>
        <v>0</v>
      </c>
    </row>
    <row r="55" spans="2:8" ht="18" hidden="1" thickTop="1" x14ac:dyDescent="0.2">
      <c r="B55" s="214"/>
      <c r="C55" s="185">
        <f>-C54</f>
        <v>0</v>
      </c>
      <c r="D55" s="185">
        <f t="shared" ref="D55:H55" si="19">-D54</f>
        <v>0</v>
      </c>
      <c r="E55" s="185">
        <f t="shared" si="19"/>
        <v>0</v>
      </c>
      <c r="F55" s="185">
        <f t="shared" si="19"/>
        <v>0</v>
      </c>
      <c r="G55" s="185">
        <f t="shared" si="19"/>
        <v>0</v>
      </c>
      <c r="H55" s="185">
        <f t="shared" si="19"/>
        <v>0</v>
      </c>
    </row>
    <row r="56" spans="2:8" ht="15" thickTop="1" x14ac:dyDescent="0.2">
      <c r="C56" s="184"/>
      <c r="D56" s="184"/>
      <c r="E56" s="184"/>
      <c r="F56" s="184"/>
      <c r="G56" s="184"/>
      <c r="H56" s="184"/>
    </row>
    <row r="57" spans="2:8" x14ac:dyDescent="0.2">
      <c r="C57" s="184"/>
      <c r="D57" s="184"/>
      <c r="E57" s="184"/>
      <c r="F57" s="184"/>
      <c r="G57" s="184"/>
      <c r="H57" s="184"/>
    </row>
    <row r="58" spans="2:8" ht="17" x14ac:dyDescent="0.2">
      <c r="B58" s="12" t="s">
        <v>38</v>
      </c>
      <c r="C58" s="185">
        <f t="shared" ref="C58:H58" si="20">+C37-C54</f>
        <v>-10000</v>
      </c>
      <c r="D58" s="185">
        <f t="shared" si="20"/>
        <v>0</v>
      </c>
      <c r="E58" s="185">
        <f t="shared" si="20"/>
        <v>0</v>
      </c>
      <c r="F58" s="185">
        <f t="shared" si="20"/>
        <v>0</v>
      </c>
      <c r="G58" s="185">
        <f t="shared" si="20"/>
        <v>0</v>
      </c>
      <c r="H58" s="185">
        <f t="shared" si="20"/>
        <v>0</v>
      </c>
    </row>
    <row r="59" spans="2:8" x14ac:dyDescent="0.2">
      <c r="B59" s="213" t="s">
        <v>39</v>
      </c>
      <c r="D59" s="184">
        <f>D58-C58</f>
        <v>10000</v>
      </c>
      <c r="E59" s="184">
        <f t="shared" ref="E59:H59" si="21">E58-D58</f>
        <v>0</v>
      </c>
      <c r="F59" s="184">
        <f t="shared" si="21"/>
        <v>0</v>
      </c>
      <c r="G59" s="184">
        <f t="shared" si="21"/>
        <v>0</v>
      </c>
      <c r="H59" s="184">
        <f t="shared" si="21"/>
        <v>0</v>
      </c>
    </row>
    <row r="60" spans="2:8" x14ac:dyDescent="0.2">
      <c r="B60" s="213" t="s">
        <v>40</v>
      </c>
      <c r="C60" s="219"/>
      <c r="D60" s="220">
        <f>D59/C58</f>
        <v>-1</v>
      </c>
      <c r="E60" s="220" t="e">
        <f t="shared" ref="E60:H60" si="22">E59/D58</f>
        <v>#DIV/0!</v>
      </c>
      <c r="F60" s="220" t="e">
        <f t="shared" si="22"/>
        <v>#DIV/0!</v>
      </c>
      <c r="G60" s="220" t="e">
        <f t="shared" si="22"/>
        <v>#DIV/0!</v>
      </c>
      <c r="H60" s="220" t="e">
        <f t="shared" si="22"/>
        <v>#DIV/0!</v>
      </c>
    </row>
    <row r="62" spans="2:8" ht="16" thickBot="1" x14ac:dyDescent="0.25">
      <c r="B62" s="40" t="s">
        <v>41</v>
      </c>
      <c r="C62" s="41">
        <f t="shared" ref="C62:H62" si="23">+C5</f>
        <v>44959</v>
      </c>
      <c r="D62" s="41">
        <f t="shared" si="23"/>
        <v>45444</v>
      </c>
      <c r="E62" s="41">
        <f t="shared" si="23"/>
        <v>45323</v>
      </c>
      <c r="F62" s="41">
        <f t="shared" si="23"/>
        <v>45689</v>
      </c>
      <c r="G62" s="41">
        <f t="shared" si="23"/>
        <v>46054</v>
      </c>
      <c r="H62" s="41">
        <f t="shared" si="23"/>
        <v>46419</v>
      </c>
    </row>
    <row r="63" spans="2:8" ht="71.25" customHeight="1" thickTop="1" x14ac:dyDescent="0.2">
      <c r="B63" s="42"/>
      <c r="C63" s="190"/>
      <c r="D63" s="190"/>
      <c r="E63" s="43"/>
      <c r="F63" s="190"/>
      <c r="G63" s="43"/>
      <c r="H63" s="43"/>
    </row>
    <row r="64" spans="2:8" ht="35.25" customHeight="1" x14ac:dyDescent="0.2">
      <c r="B64" s="42"/>
      <c r="C64" s="43"/>
      <c r="D64" s="43"/>
      <c r="E64" s="43"/>
      <c r="F64" s="43"/>
      <c r="G64" s="43"/>
      <c r="H64" s="43"/>
    </row>
    <row r="65" spans="2:8" ht="35.25" customHeight="1" x14ac:dyDescent="0.2">
      <c r="B65" s="42"/>
      <c r="C65" s="43"/>
      <c r="D65" s="43"/>
      <c r="E65" s="43"/>
      <c r="F65" s="43"/>
      <c r="G65" s="43"/>
      <c r="H65" s="43"/>
    </row>
  </sheetData>
  <mergeCells count="1">
    <mergeCell ref="B2:C2"/>
  </mergeCells>
  <conditionalFormatting sqref="C58">
    <cfRule type="cellIs" dxfId="77" priority="6" operator="lessThan">
      <formula>0</formula>
    </cfRule>
  </conditionalFormatting>
  <conditionalFormatting sqref="D58">
    <cfRule type="cellIs" dxfId="76" priority="5" operator="lessThan">
      <formula>0</formula>
    </cfRule>
  </conditionalFormatting>
  <conditionalFormatting sqref="E58">
    <cfRule type="cellIs" dxfId="75" priority="4" operator="lessThan">
      <formula>0</formula>
    </cfRule>
  </conditionalFormatting>
  <conditionalFormatting sqref="F58">
    <cfRule type="cellIs" dxfId="74" priority="3" operator="lessThan">
      <formula>0</formula>
    </cfRule>
  </conditionalFormatting>
  <conditionalFormatting sqref="G58">
    <cfRule type="cellIs" dxfId="73" priority="2" operator="lessThan">
      <formula>0</formula>
    </cfRule>
  </conditionalFormatting>
  <conditionalFormatting sqref="H58">
    <cfRule type="cellIs" dxfId="72" priority="1" operator="lessThan">
      <formula>0</formula>
    </cfRule>
  </conditionalFormatting>
  <printOptions horizontalCentered="1" verticalCentered="1"/>
  <pageMargins left="0.5" right="0.5" top="0.5" bottom="0.5" header="0.5" footer="0.5"/>
  <pageSetup scale="72" orientation="portrait" horizontalDpi="4294967294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5A4E-7F0C-45DC-911F-AE10D47BADC6}">
  <sheetPr codeName="Feuil6">
    <pageSetUpPr fitToPage="1"/>
  </sheetPr>
  <dimension ref="B2:H65"/>
  <sheetViews>
    <sheetView showGridLines="0" zoomScale="130" zoomScaleNormal="130" zoomScaleSheetLayoutView="100" workbookViewId="0">
      <selection activeCell="F27" sqref="F27"/>
    </sheetView>
  </sheetViews>
  <sheetFormatPr baseColWidth="10" defaultColWidth="8.796875" defaultRowHeight="14" x14ac:dyDescent="0.2"/>
  <cols>
    <col min="1" max="1" width="2.796875" customWidth="1"/>
    <col min="2" max="2" width="33.796875" style="7" customWidth="1"/>
    <col min="3" max="8" width="17.59765625" style="7" customWidth="1"/>
  </cols>
  <sheetData>
    <row r="2" spans="2:8" ht="29.25" customHeight="1" thickBot="1" x14ac:dyDescent="0.25">
      <c r="B2" s="746" t="str">
        <f>+Informations!B22</f>
        <v xml:space="preserve"> </v>
      </c>
      <c r="C2" s="746"/>
      <c r="D2" s="8"/>
      <c r="E2" s="8"/>
      <c r="F2" s="8"/>
      <c r="G2" s="8"/>
      <c r="H2" s="8"/>
    </row>
    <row r="3" spans="2:8" ht="18.75" customHeight="1" thickTop="1" thickBot="1" x14ac:dyDescent="0.25">
      <c r="B3" s="243" t="str">
        <f>"Année fiscale au"&amp;" "&amp;Informations!B25</f>
        <v xml:space="preserve">Année fiscale au </v>
      </c>
      <c r="C3" s="1"/>
      <c r="D3" s="1"/>
      <c r="E3" s="1"/>
      <c r="F3" s="1"/>
      <c r="G3" s="1"/>
      <c r="H3" s="1"/>
    </row>
    <row r="4" spans="2:8" ht="17" thickTop="1" x14ac:dyDescent="0.2">
      <c r="B4" s="2" t="s">
        <v>17</v>
      </c>
    </row>
    <row r="5" spans="2:8" ht="16" thickBot="1" x14ac:dyDescent="0.25">
      <c r="B5" s="36" t="s">
        <v>18</v>
      </c>
      <c r="C5" s="37">
        <f>+'Bilan Perso'!C5</f>
        <v>44959</v>
      </c>
      <c r="D5" s="37">
        <f>+'Bilan Perso'!D5</f>
        <v>45444</v>
      </c>
      <c r="E5" s="37">
        <f>+'Bilan Perso'!E5</f>
        <v>45323</v>
      </c>
      <c r="F5" s="37">
        <f>+'Bilan Perso'!F5</f>
        <v>45689</v>
      </c>
      <c r="G5" s="37">
        <f>+'Bilan Perso'!G5</f>
        <v>46054</v>
      </c>
      <c r="H5" s="37">
        <f>+'Bilan Perso'!H5</f>
        <v>46419</v>
      </c>
    </row>
    <row r="6" spans="2:8" ht="16" thickTop="1" x14ac:dyDescent="0.2">
      <c r="B6" s="11" t="s">
        <v>221</v>
      </c>
      <c r="C6" s="180"/>
      <c r="D6" s="180"/>
      <c r="E6" s="180"/>
      <c r="F6" s="180"/>
      <c r="G6" s="180"/>
      <c r="H6" s="180"/>
    </row>
    <row r="7" spans="2:8" x14ac:dyDescent="0.2">
      <c r="B7" s="11"/>
      <c r="C7" s="180"/>
      <c r="D7" s="180"/>
      <c r="E7" s="180"/>
      <c r="F7" s="180"/>
      <c r="G7" s="180"/>
      <c r="H7" s="180"/>
    </row>
    <row r="8" spans="2:8" x14ac:dyDescent="0.2">
      <c r="B8" s="11"/>
      <c r="C8" s="180"/>
      <c r="D8" s="180"/>
      <c r="E8" s="180"/>
      <c r="F8" s="180"/>
      <c r="G8" s="180"/>
      <c r="H8" s="180"/>
    </row>
    <row r="9" spans="2:8" ht="15" x14ac:dyDescent="0.2">
      <c r="B9" s="31" t="s">
        <v>20</v>
      </c>
      <c r="C9" s="188">
        <f t="shared" ref="C9" si="0">SUM(C6:C8)</f>
        <v>0</v>
      </c>
      <c r="D9" s="188">
        <f t="shared" ref="D9:H9" si="1">SUM(D6:D8)</f>
        <v>0</v>
      </c>
      <c r="E9" s="188">
        <f t="shared" si="1"/>
        <v>0</v>
      </c>
      <c r="F9" s="188">
        <f t="shared" si="1"/>
        <v>0</v>
      </c>
      <c r="G9" s="188">
        <f t="shared" si="1"/>
        <v>0</v>
      </c>
      <c r="H9" s="188">
        <f t="shared" si="1"/>
        <v>0</v>
      </c>
    </row>
    <row r="10" spans="2:8" x14ac:dyDescent="0.2">
      <c r="B10"/>
      <c r="C10" s="164">
        <v>2021</v>
      </c>
      <c r="D10" s="164">
        <v>2022</v>
      </c>
      <c r="E10" s="164">
        <v>2023</v>
      </c>
      <c r="F10" s="164">
        <v>2024</v>
      </c>
      <c r="G10" s="164">
        <v>2025</v>
      </c>
      <c r="H10" s="164">
        <v>2026</v>
      </c>
    </row>
    <row r="11" spans="2:8" ht="16" thickBot="1" x14ac:dyDescent="0.25">
      <c r="B11" s="36" t="s">
        <v>21</v>
      </c>
      <c r="C11" s="37">
        <f>+C5</f>
        <v>44959</v>
      </c>
      <c r="D11" s="37">
        <f t="shared" ref="D11:H11" si="2">+D5</f>
        <v>45444</v>
      </c>
      <c r="E11" s="37">
        <f t="shared" si="2"/>
        <v>45323</v>
      </c>
      <c r="F11" s="37">
        <f t="shared" si="2"/>
        <v>45689</v>
      </c>
      <c r="G11" s="37">
        <f t="shared" si="2"/>
        <v>46054</v>
      </c>
      <c r="H11" s="37">
        <f t="shared" si="2"/>
        <v>46419</v>
      </c>
    </row>
    <row r="12" spans="2:8" ht="15" thickTop="1" x14ac:dyDescent="0.2">
      <c r="B12" s="11"/>
      <c r="C12" s="180"/>
      <c r="D12" s="180"/>
      <c r="E12" s="180"/>
      <c r="F12" s="180"/>
      <c r="G12" s="180"/>
      <c r="H12" s="180"/>
    </row>
    <row r="13" spans="2:8" x14ac:dyDescent="0.2">
      <c r="B13" s="11"/>
      <c r="C13" s="180"/>
      <c r="D13" s="180"/>
      <c r="E13" s="180"/>
      <c r="F13" s="180"/>
      <c r="G13" s="180"/>
      <c r="H13" s="180"/>
    </row>
    <row r="14" spans="2:8" x14ac:dyDescent="0.2">
      <c r="B14" s="9"/>
      <c r="C14" s="180"/>
      <c r="D14" s="180"/>
      <c r="E14" s="180"/>
      <c r="F14" s="180"/>
      <c r="G14" s="180"/>
      <c r="H14" s="180"/>
    </row>
    <row r="15" spans="2:8" x14ac:dyDescent="0.2">
      <c r="B15" s="11"/>
      <c r="C15" s="180"/>
      <c r="D15" s="180"/>
      <c r="E15" s="180"/>
      <c r="F15" s="180"/>
      <c r="G15" s="180"/>
      <c r="H15" s="180"/>
    </row>
    <row r="16" spans="2:8" x14ac:dyDescent="0.2">
      <c r="B16" s="11"/>
      <c r="C16" s="180"/>
      <c r="D16" s="180"/>
      <c r="E16" s="180"/>
      <c r="F16" s="180"/>
      <c r="G16" s="180"/>
      <c r="H16" s="180"/>
    </row>
    <row r="17" spans="2:8" ht="15" x14ac:dyDescent="0.2">
      <c r="B17" s="35" t="s">
        <v>23</v>
      </c>
      <c r="C17" s="188">
        <f>SUM(C12:C16)</f>
        <v>0</v>
      </c>
      <c r="D17" s="188">
        <f t="shared" ref="D17:H17" si="3">SUM(D12:D16)</f>
        <v>0</v>
      </c>
      <c r="E17" s="188">
        <f t="shared" si="3"/>
        <v>0</v>
      </c>
      <c r="F17" s="188">
        <f t="shared" si="3"/>
        <v>0</v>
      </c>
      <c r="G17" s="188">
        <f t="shared" si="3"/>
        <v>0</v>
      </c>
      <c r="H17" s="188">
        <f t="shared" si="3"/>
        <v>0</v>
      </c>
    </row>
    <row r="18" spans="2:8" x14ac:dyDescent="0.2">
      <c r="B18"/>
      <c r="C18"/>
      <c r="D18"/>
      <c r="E18"/>
      <c r="F18"/>
      <c r="G18"/>
      <c r="H18"/>
    </row>
    <row r="19" spans="2:8" ht="16" thickBot="1" x14ac:dyDescent="0.25">
      <c r="B19" s="36" t="s">
        <v>24</v>
      </c>
      <c r="C19" s="37">
        <f>+C5</f>
        <v>44959</v>
      </c>
      <c r="D19" s="37">
        <f t="shared" ref="D19:H19" si="4">+D5</f>
        <v>45444</v>
      </c>
      <c r="E19" s="37">
        <f t="shared" si="4"/>
        <v>45323</v>
      </c>
      <c r="F19" s="37">
        <f t="shared" si="4"/>
        <v>45689</v>
      </c>
      <c r="G19" s="37">
        <f t="shared" si="4"/>
        <v>46054</v>
      </c>
      <c r="H19" s="37">
        <f t="shared" si="4"/>
        <v>46419</v>
      </c>
    </row>
    <row r="20" spans="2:8" ht="15" thickTop="1" x14ac:dyDescent="0.2">
      <c r="B20" s="11"/>
      <c r="C20" s="180"/>
      <c r="D20" s="180"/>
      <c r="E20" s="180"/>
      <c r="F20" s="180"/>
      <c r="G20" s="180"/>
      <c r="H20" s="180"/>
    </row>
    <row r="21" spans="2:8" x14ac:dyDescent="0.2">
      <c r="B21" s="11"/>
      <c r="C21" s="180"/>
      <c r="D21" s="180"/>
      <c r="E21" s="180"/>
      <c r="F21" s="180"/>
      <c r="G21" s="180"/>
      <c r="H21" s="180"/>
    </row>
    <row r="22" spans="2:8" x14ac:dyDescent="0.2">
      <c r="B22" s="11"/>
      <c r="C22" s="180"/>
      <c r="D22" s="180"/>
      <c r="E22" s="180"/>
      <c r="F22" s="180"/>
      <c r="G22" s="180"/>
      <c r="H22" s="180"/>
    </row>
    <row r="23" spans="2:8" ht="15" x14ac:dyDescent="0.2">
      <c r="B23" s="35" t="s">
        <v>26</v>
      </c>
      <c r="C23" s="188">
        <f t="shared" ref="C23:H23" si="5">SUM(C20:C22)</f>
        <v>0</v>
      </c>
      <c r="D23" s="188">
        <f t="shared" si="5"/>
        <v>0</v>
      </c>
      <c r="E23" s="188">
        <f t="shared" si="5"/>
        <v>0</v>
      </c>
      <c r="F23" s="188">
        <f t="shared" si="5"/>
        <v>0</v>
      </c>
      <c r="G23" s="188">
        <f t="shared" si="5"/>
        <v>0</v>
      </c>
      <c r="H23" s="188">
        <f t="shared" si="5"/>
        <v>0</v>
      </c>
    </row>
    <row r="24" spans="2:8" x14ac:dyDescent="0.2">
      <c r="B24"/>
      <c r="C24"/>
      <c r="D24"/>
      <c r="E24"/>
      <c r="F24"/>
      <c r="G24"/>
      <c r="H24"/>
    </row>
    <row r="25" spans="2:8" ht="16" thickBot="1" x14ac:dyDescent="0.25">
      <c r="B25" s="36" t="s">
        <v>27</v>
      </c>
      <c r="C25" s="37">
        <f>+C5</f>
        <v>44959</v>
      </c>
      <c r="D25" s="37">
        <f t="shared" ref="D25:H25" si="6">+D5</f>
        <v>45444</v>
      </c>
      <c r="E25" s="37">
        <f t="shared" si="6"/>
        <v>45323</v>
      </c>
      <c r="F25" s="37">
        <f t="shared" si="6"/>
        <v>45689</v>
      </c>
      <c r="G25" s="37">
        <f t="shared" si="6"/>
        <v>46054</v>
      </c>
      <c r="H25" s="37">
        <f t="shared" si="6"/>
        <v>46419</v>
      </c>
    </row>
    <row r="26" spans="2:8" ht="15" thickTop="1" x14ac:dyDescent="0.2">
      <c r="B26" s="9"/>
      <c r="C26" s="180"/>
      <c r="D26" s="180"/>
      <c r="E26" s="180"/>
      <c r="F26" s="180"/>
      <c r="G26" s="180"/>
      <c r="H26" s="180"/>
    </row>
    <row r="27" spans="2:8" x14ac:dyDescent="0.2">
      <c r="B27" s="11"/>
      <c r="C27" s="180"/>
      <c r="D27" s="180"/>
      <c r="E27" s="180"/>
      <c r="F27" s="180"/>
      <c r="G27" s="180"/>
      <c r="H27" s="180"/>
    </row>
    <row r="28" spans="2:8" x14ac:dyDescent="0.2">
      <c r="B28" s="11"/>
      <c r="C28" s="180"/>
      <c r="D28" s="180"/>
      <c r="E28" s="180"/>
      <c r="F28" s="180"/>
      <c r="G28" s="180"/>
      <c r="H28" s="180"/>
    </row>
    <row r="29" spans="2:8" ht="15" x14ac:dyDescent="0.2">
      <c r="B29" s="31" t="s">
        <v>28</v>
      </c>
      <c r="C29" s="188">
        <f t="shared" ref="C29:H29" si="7">SUM(C26:C28)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  <c r="H29" s="188">
        <f t="shared" si="7"/>
        <v>0</v>
      </c>
    </row>
    <row r="30" spans="2:8" ht="18.75" customHeight="1" x14ac:dyDescent="0.2">
      <c r="B30"/>
      <c r="C30"/>
      <c r="D30"/>
      <c r="E30"/>
      <c r="F30"/>
      <c r="G30"/>
      <c r="H30"/>
    </row>
    <row r="31" spans="2:8" ht="16" thickBot="1" x14ac:dyDescent="0.25">
      <c r="B31" s="36" t="s">
        <v>29</v>
      </c>
      <c r="C31" s="37">
        <f t="shared" ref="C31:H31" si="8">+C5</f>
        <v>44959</v>
      </c>
      <c r="D31" s="37">
        <f t="shared" si="8"/>
        <v>45444</v>
      </c>
      <c r="E31" s="37">
        <f t="shared" si="8"/>
        <v>45323</v>
      </c>
      <c r="F31" s="37">
        <f t="shared" si="8"/>
        <v>45689</v>
      </c>
      <c r="G31" s="37">
        <f t="shared" si="8"/>
        <v>46054</v>
      </c>
      <c r="H31" s="37">
        <f t="shared" si="8"/>
        <v>46419</v>
      </c>
    </row>
    <row r="32" spans="2:8" ht="15" thickTop="1" x14ac:dyDescent="0.2">
      <c r="B32" s="9"/>
      <c r="C32" s="180"/>
      <c r="D32" s="180"/>
      <c r="E32" s="180"/>
      <c r="F32" s="180"/>
      <c r="G32" s="180"/>
      <c r="H32" s="180"/>
    </row>
    <row r="33" spans="2:8" x14ac:dyDescent="0.2">
      <c r="B33" s="11"/>
      <c r="C33" s="180"/>
      <c r="D33" s="180"/>
      <c r="E33" s="180"/>
      <c r="F33" s="180"/>
      <c r="G33" s="180"/>
      <c r="H33" s="180"/>
    </row>
    <row r="34" spans="2:8" x14ac:dyDescent="0.2">
      <c r="B34" s="11"/>
      <c r="C34" s="180"/>
      <c r="D34" s="180"/>
      <c r="E34" s="180"/>
      <c r="F34" s="180"/>
      <c r="G34" s="180"/>
      <c r="H34" s="180"/>
    </row>
    <row r="35" spans="2:8" ht="15" x14ac:dyDescent="0.2">
      <c r="B35" s="31" t="s">
        <v>31</v>
      </c>
      <c r="C35" s="188">
        <f t="shared" ref="C35:H35" si="9">SUM(C32:C34)</f>
        <v>0</v>
      </c>
      <c r="D35" s="188">
        <f t="shared" si="9"/>
        <v>0</v>
      </c>
      <c r="E35" s="188">
        <f t="shared" si="9"/>
        <v>0</v>
      </c>
      <c r="F35" s="188">
        <f t="shared" si="9"/>
        <v>0</v>
      </c>
      <c r="G35" s="188">
        <f t="shared" si="9"/>
        <v>0</v>
      </c>
      <c r="H35" s="188">
        <f t="shared" si="9"/>
        <v>0</v>
      </c>
    </row>
    <row r="36" spans="2:8" x14ac:dyDescent="0.2">
      <c r="B36" s="3"/>
      <c r="C36" s="4"/>
      <c r="D36" s="4"/>
      <c r="E36" s="4"/>
      <c r="F36" s="4"/>
      <c r="G36" s="4"/>
      <c r="H36" s="4"/>
    </row>
    <row r="37" spans="2:8" ht="19" thickBot="1" x14ac:dyDescent="0.25">
      <c r="B37" s="218" t="s">
        <v>32</v>
      </c>
      <c r="C37" s="181">
        <f>C35+C29+C23+C17+C9</f>
        <v>0</v>
      </c>
      <c r="D37" s="181">
        <f t="shared" ref="D37:H37" si="10">D35+D29+D23+D17+D9</f>
        <v>0</v>
      </c>
      <c r="E37" s="181">
        <f t="shared" si="10"/>
        <v>0</v>
      </c>
      <c r="F37" s="181">
        <f t="shared" si="10"/>
        <v>0</v>
      </c>
      <c r="G37" s="181">
        <f t="shared" si="10"/>
        <v>0</v>
      </c>
      <c r="H37" s="181">
        <f t="shared" si="10"/>
        <v>0</v>
      </c>
    </row>
    <row r="38" spans="2:8" ht="19" thickTop="1" thickBot="1" x14ac:dyDescent="0.25">
      <c r="B38" s="5"/>
      <c r="C38" s="6"/>
      <c r="D38" s="6"/>
      <c r="E38" s="6"/>
      <c r="F38" s="6"/>
      <c r="G38" s="6"/>
      <c r="H38" s="6"/>
    </row>
    <row r="39" spans="2:8" ht="17" thickTop="1" x14ac:dyDescent="0.2">
      <c r="B39" s="34" t="s">
        <v>33</v>
      </c>
      <c r="C39" s="4"/>
      <c r="D39" s="4"/>
      <c r="E39" s="4"/>
      <c r="F39" s="4"/>
      <c r="G39" s="4"/>
      <c r="H39" s="4"/>
    </row>
    <row r="40" spans="2:8" ht="16" thickBot="1" x14ac:dyDescent="0.25">
      <c r="B40" s="39" t="s">
        <v>210</v>
      </c>
      <c r="C40" s="38">
        <f t="shared" ref="C40:H40" si="11">+C5</f>
        <v>44959</v>
      </c>
      <c r="D40" s="38">
        <f t="shared" si="11"/>
        <v>45444</v>
      </c>
      <c r="E40" s="38">
        <f t="shared" si="11"/>
        <v>45323</v>
      </c>
      <c r="F40" s="38">
        <f t="shared" si="11"/>
        <v>45689</v>
      </c>
      <c r="G40" s="38">
        <f t="shared" si="11"/>
        <v>46054</v>
      </c>
      <c r="H40" s="38">
        <f t="shared" si="11"/>
        <v>46419</v>
      </c>
    </row>
    <row r="41" spans="2:8" ht="15" thickTop="1" x14ac:dyDescent="0.2">
      <c r="B41" s="10"/>
      <c r="C41" s="182"/>
      <c r="D41" s="182"/>
      <c r="E41" s="182"/>
      <c r="F41" s="182"/>
      <c r="G41" s="182"/>
      <c r="H41" s="182"/>
    </row>
    <row r="42" spans="2:8" x14ac:dyDescent="0.2">
      <c r="B42" s="10"/>
      <c r="C42" s="182"/>
      <c r="D42" s="182"/>
      <c r="E42" s="182"/>
      <c r="F42" s="182"/>
      <c r="G42" s="182"/>
      <c r="H42" s="182"/>
    </row>
    <row r="43" spans="2:8" x14ac:dyDescent="0.2">
      <c r="B43" s="10"/>
      <c r="C43" s="182"/>
      <c r="D43" s="182"/>
      <c r="E43" s="182"/>
      <c r="F43" s="182"/>
      <c r="G43" s="182"/>
      <c r="H43" s="182"/>
    </row>
    <row r="44" spans="2:8" x14ac:dyDescent="0.2">
      <c r="B44" s="10"/>
      <c r="C44" s="182"/>
      <c r="D44" s="182"/>
      <c r="E44" s="182"/>
      <c r="F44" s="182"/>
      <c r="G44" s="182"/>
      <c r="H44" s="182"/>
    </row>
    <row r="45" spans="2:8" ht="16" thickBot="1" x14ac:dyDescent="0.25">
      <c r="B45" s="10" t="s">
        <v>220</v>
      </c>
      <c r="C45" s="182"/>
      <c r="D45" s="182"/>
      <c r="E45" s="182"/>
      <c r="F45" s="182"/>
      <c r="G45" s="182"/>
      <c r="H45" s="182"/>
    </row>
    <row r="46" spans="2:8" ht="16" thickTop="1" x14ac:dyDescent="0.2">
      <c r="B46" s="32" t="s">
        <v>212</v>
      </c>
      <c r="C46" s="211">
        <f>SUM(C41:C45)</f>
        <v>0</v>
      </c>
      <c r="D46" s="211">
        <f t="shared" ref="D46:H46" si="12">SUM(D41:D45)</f>
        <v>0</v>
      </c>
      <c r="E46" s="211">
        <f t="shared" si="12"/>
        <v>0</v>
      </c>
      <c r="F46" s="211">
        <f t="shared" si="12"/>
        <v>0</v>
      </c>
      <c r="G46" s="211">
        <f t="shared" si="12"/>
        <v>0</v>
      </c>
      <c r="H46" s="212">
        <f t="shared" si="12"/>
        <v>0</v>
      </c>
    </row>
    <row r="47" spans="2:8" s="164" customFormat="1" x14ac:dyDescent="0.2">
      <c r="C47" s="215">
        <f>C46*-1</f>
        <v>0</v>
      </c>
      <c r="D47" s="215">
        <f t="shared" ref="D47:H47" si="13">D46*-1</f>
        <v>0</v>
      </c>
      <c r="E47" s="215">
        <f t="shared" si="13"/>
        <v>0</v>
      </c>
      <c r="F47" s="215">
        <f t="shared" si="13"/>
        <v>0</v>
      </c>
      <c r="G47" s="215">
        <f t="shared" si="13"/>
        <v>0</v>
      </c>
      <c r="H47" s="215">
        <f t="shared" si="13"/>
        <v>0</v>
      </c>
    </row>
    <row r="48" spans="2:8" ht="16" thickBot="1" x14ac:dyDescent="0.25">
      <c r="B48" s="39" t="s">
        <v>211</v>
      </c>
      <c r="C48" s="38">
        <f t="shared" ref="C48:H48" si="14">+C5</f>
        <v>44959</v>
      </c>
      <c r="D48" s="38">
        <f t="shared" si="14"/>
        <v>45444</v>
      </c>
      <c r="E48" s="38">
        <f t="shared" si="14"/>
        <v>45323</v>
      </c>
      <c r="F48" s="38">
        <f t="shared" si="14"/>
        <v>45689</v>
      </c>
      <c r="G48" s="38">
        <f t="shared" si="14"/>
        <v>46054</v>
      </c>
      <c r="H48" s="38">
        <f t="shared" si="14"/>
        <v>46419</v>
      </c>
    </row>
    <row r="49" spans="2:8" ht="15" thickTop="1" x14ac:dyDescent="0.2">
      <c r="B49" s="10"/>
      <c r="C49" s="182"/>
      <c r="D49" s="182"/>
      <c r="E49" s="182"/>
      <c r="F49" s="182"/>
      <c r="G49" s="182"/>
      <c r="H49" s="182"/>
    </row>
    <row r="50" spans="2:8" x14ac:dyDescent="0.2">
      <c r="B50" s="10"/>
      <c r="C50" s="182"/>
      <c r="D50" s="182"/>
      <c r="E50" s="182"/>
      <c r="F50" s="182"/>
      <c r="G50" s="182"/>
      <c r="H50" s="182"/>
    </row>
    <row r="51" spans="2:8" x14ac:dyDescent="0.2">
      <c r="B51" s="10"/>
      <c r="C51" s="182"/>
      <c r="D51" s="182"/>
      <c r="E51" s="182"/>
      <c r="F51" s="182"/>
      <c r="G51" s="182"/>
      <c r="H51" s="182"/>
    </row>
    <row r="52" spans="2:8" ht="15" x14ac:dyDescent="0.2">
      <c r="B52" s="32" t="s">
        <v>36</v>
      </c>
      <c r="C52" s="211">
        <f t="shared" ref="C52:F52" si="15">SUM(C49:C51)</f>
        <v>0</v>
      </c>
      <c r="D52" s="211">
        <f t="shared" si="15"/>
        <v>0</v>
      </c>
      <c r="E52" s="211">
        <f t="shared" si="15"/>
        <v>0</v>
      </c>
      <c r="F52" s="211">
        <f t="shared" si="15"/>
        <v>0</v>
      </c>
      <c r="G52" s="211">
        <f>SUM(G49:G51)</f>
        <v>0</v>
      </c>
      <c r="H52" s="211">
        <f t="shared" ref="H52" si="16">SUM(H49:H51)</f>
        <v>0</v>
      </c>
    </row>
    <row r="53" spans="2:8" s="164" customFormat="1" x14ac:dyDescent="0.2">
      <c r="B53" s="216"/>
      <c r="C53" s="217">
        <f>C52*-1</f>
        <v>0</v>
      </c>
      <c r="D53" s="217">
        <f t="shared" ref="D53:H53" si="17">D52*-1</f>
        <v>0</v>
      </c>
      <c r="E53" s="217">
        <f t="shared" si="17"/>
        <v>0</v>
      </c>
      <c r="F53" s="217">
        <f t="shared" si="17"/>
        <v>0</v>
      </c>
      <c r="G53" s="217">
        <f t="shared" si="17"/>
        <v>0</v>
      </c>
      <c r="H53" s="217">
        <f t="shared" si="17"/>
        <v>0</v>
      </c>
    </row>
    <row r="54" spans="2:8" ht="19" thickBot="1" x14ac:dyDescent="0.25">
      <c r="B54" s="33" t="s">
        <v>37</v>
      </c>
      <c r="C54" s="183">
        <f t="shared" ref="C54:H54" si="18">C46+C52</f>
        <v>0</v>
      </c>
      <c r="D54" s="183">
        <f t="shared" si="18"/>
        <v>0</v>
      </c>
      <c r="E54" s="183">
        <f t="shared" si="18"/>
        <v>0</v>
      </c>
      <c r="F54" s="183">
        <f t="shared" si="18"/>
        <v>0</v>
      </c>
      <c r="G54" s="183">
        <f t="shared" si="18"/>
        <v>0</v>
      </c>
      <c r="H54" s="183">
        <f t="shared" si="18"/>
        <v>0</v>
      </c>
    </row>
    <row r="55" spans="2:8" ht="18" hidden="1" thickTop="1" x14ac:dyDescent="0.2">
      <c r="B55" s="214"/>
      <c r="C55" s="185">
        <f>-C54</f>
        <v>0</v>
      </c>
      <c r="D55" s="185">
        <f t="shared" ref="D55:H55" si="19">-D54</f>
        <v>0</v>
      </c>
      <c r="E55" s="185">
        <f t="shared" si="19"/>
        <v>0</v>
      </c>
      <c r="F55" s="185">
        <f t="shared" si="19"/>
        <v>0</v>
      </c>
      <c r="G55" s="185">
        <f t="shared" si="19"/>
        <v>0</v>
      </c>
      <c r="H55" s="185">
        <f t="shared" si="19"/>
        <v>0</v>
      </c>
    </row>
    <row r="56" spans="2:8" ht="15" thickTop="1" x14ac:dyDescent="0.2">
      <c r="C56" s="184"/>
      <c r="D56" s="184"/>
      <c r="E56" s="184"/>
      <c r="F56" s="184"/>
      <c r="G56" s="184"/>
      <c r="H56" s="184"/>
    </row>
    <row r="57" spans="2:8" x14ac:dyDescent="0.2">
      <c r="C57" s="184"/>
      <c r="D57" s="184"/>
      <c r="E57" s="184"/>
      <c r="F57" s="184"/>
      <c r="G57" s="184"/>
      <c r="H57" s="184"/>
    </row>
    <row r="58" spans="2:8" ht="17" x14ac:dyDescent="0.2">
      <c r="B58" s="12" t="s">
        <v>38</v>
      </c>
      <c r="C58" s="185">
        <f t="shared" ref="C58:H58" si="20">+C37-C54</f>
        <v>0</v>
      </c>
      <c r="D58" s="185">
        <f t="shared" si="20"/>
        <v>0</v>
      </c>
      <c r="E58" s="185">
        <f t="shared" si="20"/>
        <v>0</v>
      </c>
      <c r="F58" s="185">
        <f t="shared" si="20"/>
        <v>0</v>
      </c>
      <c r="G58" s="185">
        <f t="shared" si="20"/>
        <v>0</v>
      </c>
      <c r="H58" s="185">
        <f t="shared" si="20"/>
        <v>0</v>
      </c>
    </row>
    <row r="59" spans="2:8" x14ac:dyDescent="0.2">
      <c r="B59" s="213" t="s">
        <v>39</v>
      </c>
      <c r="D59" s="184">
        <f>D58-C58</f>
        <v>0</v>
      </c>
      <c r="E59" s="184">
        <f t="shared" ref="E59:H59" si="21">E58-D58</f>
        <v>0</v>
      </c>
      <c r="F59" s="184">
        <f t="shared" si="21"/>
        <v>0</v>
      </c>
      <c r="G59" s="184">
        <f t="shared" si="21"/>
        <v>0</v>
      </c>
      <c r="H59" s="184">
        <f t="shared" si="21"/>
        <v>0</v>
      </c>
    </row>
    <row r="60" spans="2:8" x14ac:dyDescent="0.2">
      <c r="B60" s="213" t="s">
        <v>40</v>
      </c>
      <c r="C60" s="219"/>
      <c r="D60" s="220" t="e">
        <f>D59/C58</f>
        <v>#DIV/0!</v>
      </c>
      <c r="E60" s="220" t="e">
        <f t="shared" ref="E60:H60" si="22">E59/D58</f>
        <v>#DIV/0!</v>
      </c>
      <c r="F60" s="220" t="e">
        <f t="shared" si="22"/>
        <v>#DIV/0!</v>
      </c>
      <c r="G60" s="220" t="e">
        <f t="shared" si="22"/>
        <v>#DIV/0!</v>
      </c>
      <c r="H60" s="220" t="e">
        <f t="shared" si="22"/>
        <v>#DIV/0!</v>
      </c>
    </row>
    <row r="62" spans="2:8" ht="16" thickBot="1" x14ac:dyDescent="0.25">
      <c r="B62" s="40" t="s">
        <v>41</v>
      </c>
      <c r="C62" s="41">
        <f t="shared" ref="C62:H62" si="23">+C5</f>
        <v>44959</v>
      </c>
      <c r="D62" s="41">
        <f t="shared" si="23"/>
        <v>45444</v>
      </c>
      <c r="E62" s="41">
        <f t="shared" si="23"/>
        <v>45323</v>
      </c>
      <c r="F62" s="41">
        <f t="shared" si="23"/>
        <v>45689</v>
      </c>
      <c r="G62" s="41">
        <f t="shared" si="23"/>
        <v>46054</v>
      </c>
      <c r="H62" s="41">
        <f t="shared" si="23"/>
        <v>46419</v>
      </c>
    </row>
    <row r="63" spans="2:8" ht="71.25" customHeight="1" thickTop="1" x14ac:dyDescent="0.2">
      <c r="B63" s="42"/>
      <c r="C63" s="190"/>
      <c r="D63" s="190"/>
      <c r="E63" s="43"/>
      <c r="F63" s="190"/>
      <c r="G63" s="43"/>
      <c r="H63" s="43"/>
    </row>
    <row r="64" spans="2:8" ht="35.25" customHeight="1" x14ac:dyDescent="0.2">
      <c r="B64" s="42"/>
      <c r="C64" s="43"/>
      <c r="D64" s="43"/>
      <c r="E64" s="43"/>
      <c r="F64" s="43"/>
      <c r="G64" s="43"/>
      <c r="H64" s="43"/>
    </row>
    <row r="65" spans="2:8" ht="35.25" customHeight="1" x14ac:dyDescent="0.2">
      <c r="B65" s="42"/>
      <c r="C65" s="43"/>
      <c r="D65" s="43"/>
      <c r="E65" s="43"/>
      <c r="F65" s="43"/>
      <c r="G65" s="43"/>
      <c r="H65" s="43"/>
    </row>
  </sheetData>
  <mergeCells count="1">
    <mergeCell ref="B2:C2"/>
  </mergeCells>
  <conditionalFormatting sqref="C58">
    <cfRule type="cellIs" dxfId="71" priority="6" operator="lessThan">
      <formula>0</formula>
    </cfRule>
  </conditionalFormatting>
  <conditionalFormatting sqref="D58">
    <cfRule type="cellIs" dxfId="70" priority="5" operator="lessThan">
      <formula>0</formula>
    </cfRule>
  </conditionalFormatting>
  <conditionalFormatting sqref="E58">
    <cfRule type="cellIs" dxfId="69" priority="4" operator="lessThan">
      <formula>0</formula>
    </cfRule>
  </conditionalFormatting>
  <conditionalFormatting sqref="F58">
    <cfRule type="cellIs" dxfId="68" priority="3" operator="lessThan">
      <formula>0</formula>
    </cfRule>
  </conditionalFormatting>
  <conditionalFormatting sqref="G58">
    <cfRule type="cellIs" dxfId="67" priority="2" operator="lessThan">
      <formula>0</formula>
    </cfRule>
  </conditionalFormatting>
  <conditionalFormatting sqref="H58">
    <cfRule type="cellIs" dxfId="66" priority="1" operator="lessThan">
      <formula>0</formula>
    </cfRule>
  </conditionalFormatting>
  <printOptions horizontalCentered="1" verticalCentered="1"/>
  <pageMargins left="0.5" right="0.5" top="0.5" bottom="0.5" header="0.5" footer="0.5"/>
  <pageSetup scale="72" orientation="portrait" horizontalDpi="4294967294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BFD8-0AFB-425D-8A37-3330535AEEB8}">
  <sheetPr codeName="Feuil7"/>
  <dimension ref="A1"/>
  <sheetViews>
    <sheetView workbookViewId="0">
      <selection activeCell="T14" sqref="T14"/>
    </sheetView>
  </sheetViews>
  <sheetFormatPr baseColWidth="10" defaultColWidth="11.3984375" defaultRowHeight="14" x14ac:dyDescent="0.2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9B50-0E4C-47FC-806C-641A5608B596}">
  <sheetPr codeName="Feuil8">
    <pageSetUpPr fitToPage="1"/>
  </sheetPr>
  <dimension ref="A1:M52"/>
  <sheetViews>
    <sheetView zoomScale="130" zoomScaleNormal="130" workbookViewId="0">
      <pane xSplit="1" ySplit="2" topLeftCell="B3" activePane="bottomRight" state="frozen"/>
      <selection pane="topRight" activeCell="I48" sqref="I48"/>
      <selection pane="bottomLeft" activeCell="I48" sqref="I48"/>
      <selection pane="bottomRight" activeCell="A10" sqref="A10"/>
    </sheetView>
  </sheetViews>
  <sheetFormatPr baseColWidth="10" defaultColWidth="9" defaultRowHeight="15" x14ac:dyDescent="0.2"/>
  <cols>
    <col min="1" max="1" width="51.59765625" style="44" customWidth="1"/>
    <col min="2" max="8" width="12.796875" style="44" customWidth="1"/>
    <col min="9" max="11" width="13" style="44" customWidth="1"/>
    <col min="12" max="12" width="13" style="45" customWidth="1"/>
    <col min="13" max="13" width="16" style="44" bestFit="1" customWidth="1"/>
    <col min="14" max="16384" width="9" style="44"/>
  </cols>
  <sheetData>
    <row r="1" spans="1:10" ht="16" x14ac:dyDescent="0.2">
      <c r="A1" s="133" t="s">
        <v>42</v>
      </c>
      <c r="B1" s="133"/>
      <c r="C1" s="132"/>
      <c r="D1" s="132"/>
      <c r="E1" s="132"/>
      <c r="F1" s="132"/>
      <c r="G1" s="132"/>
      <c r="H1" s="132"/>
      <c r="I1" s="131"/>
    </row>
    <row r="2" spans="1:10" ht="24" x14ac:dyDescent="0.2">
      <c r="A2" s="130" t="s">
        <v>43</v>
      </c>
      <c r="B2" s="129">
        <v>1</v>
      </c>
      <c r="C2" s="129">
        <v>2</v>
      </c>
      <c r="D2" s="129">
        <v>3</v>
      </c>
      <c r="E2" s="129">
        <v>4</v>
      </c>
      <c r="F2" s="128">
        <v>5</v>
      </c>
      <c r="G2" s="128">
        <v>6</v>
      </c>
      <c r="H2" s="128">
        <v>7</v>
      </c>
      <c r="I2" s="127" t="s">
        <v>44</v>
      </c>
    </row>
    <row r="3" spans="1:10" x14ac:dyDescent="0.2">
      <c r="A3" s="126" t="s">
        <v>45</v>
      </c>
      <c r="B3" s="125" t="s">
        <v>46</v>
      </c>
      <c r="C3" s="125" t="s">
        <v>47</v>
      </c>
      <c r="D3" s="125" t="s">
        <v>48</v>
      </c>
      <c r="E3" s="125" t="s">
        <v>49</v>
      </c>
      <c r="F3" s="125" t="s">
        <v>50</v>
      </c>
      <c r="G3" s="125" t="s">
        <v>51</v>
      </c>
      <c r="H3" s="125" t="s">
        <v>52</v>
      </c>
      <c r="I3" s="124"/>
    </row>
    <row r="4" spans="1:10" x14ac:dyDescent="0.2">
      <c r="A4" s="123" t="s">
        <v>53</v>
      </c>
      <c r="B4" s="122"/>
      <c r="C4" s="122"/>
      <c r="D4" s="122"/>
      <c r="E4" s="122"/>
      <c r="F4" s="122"/>
      <c r="G4" s="122"/>
      <c r="H4" s="122"/>
      <c r="I4" s="119"/>
    </row>
    <row r="5" spans="1:10" x14ac:dyDescent="0.2">
      <c r="A5" s="123" t="s">
        <v>54</v>
      </c>
      <c r="B5" s="122"/>
      <c r="C5" s="122"/>
      <c r="D5" s="122"/>
      <c r="E5" s="122"/>
      <c r="F5" s="122"/>
      <c r="G5" s="122"/>
      <c r="H5" s="122"/>
      <c r="I5" s="119"/>
    </row>
    <row r="6" spans="1:10" x14ac:dyDescent="0.2">
      <c r="A6" s="121" t="s">
        <v>55</v>
      </c>
      <c r="B6" s="120"/>
      <c r="C6" s="120"/>
      <c r="D6" s="120"/>
      <c r="E6" s="120"/>
      <c r="F6" s="120"/>
      <c r="G6" s="120"/>
      <c r="H6" s="120"/>
      <c r="I6" s="119"/>
    </row>
    <row r="7" spans="1:10" x14ac:dyDescent="0.2">
      <c r="A7" s="118" t="s">
        <v>56</v>
      </c>
      <c r="B7" s="117">
        <v>3</v>
      </c>
      <c r="C7" s="117">
        <v>3</v>
      </c>
      <c r="D7" s="117">
        <v>4</v>
      </c>
      <c r="E7" s="117">
        <v>3</v>
      </c>
      <c r="F7" s="117">
        <v>8</v>
      </c>
      <c r="G7" s="117">
        <v>3</v>
      </c>
      <c r="H7" s="117">
        <v>2</v>
      </c>
      <c r="I7" s="116">
        <f>SUM(B7:H7)</f>
        <v>26</v>
      </c>
    </row>
    <row r="8" spans="1:10" x14ac:dyDescent="0.2">
      <c r="A8" s="54" t="s">
        <v>57</v>
      </c>
      <c r="B8" s="115" t="s">
        <v>58</v>
      </c>
      <c r="C8" s="115" t="s">
        <v>59</v>
      </c>
      <c r="D8" s="115" t="s">
        <v>60</v>
      </c>
      <c r="E8" s="115" t="s">
        <v>61</v>
      </c>
      <c r="F8" s="115" t="s">
        <v>62</v>
      </c>
      <c r="G8" s="115" t="s">
        <v>63</v>
      </c>
      <c r="H8" s="115" t="s">
        <v>64</v>
      </c>
      <c r="I8" s="114"/>
    </row>
    <row r="9" spans="1:10" x14ac:dyDescent="0.2">
      <c r="A9" s="72" t="s">
        <v>65</v>
      </c>
      <c r="B9" s="113">
        <v>155000</v>
      </c>
      <c r="C9" s="113">
        <v>240000</v>
      </c>
      <c r="D9" s="113">
        <v>280000</v>
      </c>
      <c r="E9" s="113">
        <v>290000</v>
      </c>
      <c r="F9" s="113">
        <v>450000</v>
      </c>
      <c r="G9" s="113">
        <v>355000</v>
      </c>
      <c r="H9" s="113">
        <v>210000</v>
      </c>
      <c r="I9" s="112">
        <f t="shared" ref="I9:I26" si="0">SUM(B9:H9)</f>
        <v>1980000</v>
      </c>
    </row>
    <row r="10" spans="1:10" x14ac:dyDescent="0.2">
      <c r="A10" s="54" t="s">
        <v>66</v>
      </c>
      <c r="B10" s="111">
        <v>30000</v>
      </c>
      <c r="C10" s="111">
        <v>20000</v>
      </c>
      <c r="D10" s="111">
        <v>40000</v>
      </c>
      <c r="E10" s="111">
        <v>40000</v>
      </c>
      <c r="F10" s="111">
        <v>55000</v>
      </c>
      <c r="G10" s="111">
        <v>50000</v>
      </c>
      <c r="H10" s="111">
        <v>25000</v>
      </c>
      <c r="I10" s="101">
        <f t="shared" si="0"/>
        <v>260000</v>
      </c>
      <c r="J10" s="91"/>
    </row>
    <row r="11" spans="1:10" x14ac:dyDescent="0.2">
      <c r="A11" s="54" t="s">
        <v>67</v>
      </c>
      <c r="B11" s="111">
        <f>+B9-B10</f>
        <v>125000</v>
      </c>
      <c r="C11" s="111">
        <f>+C9-C10</f>
        <v>220000</v>
      </c>
      <c r="D11" s="111">
        <f>+D9-D10</f>
        <v>240000</v>
      </c>
      <c r="E11" s="111">
        <f>+E9-E10</f>
        <v>250000</v>
      </c>
      <c r="F11" s="111">
        <f>(F9-F10)/2</f>
        <v>197500</v>
      </c>
      <c r="G11" s="111">
        <f>+G9-G10</f>
        <v>305000</v>
      </c>
      <c r="H11" s="111">
        <f>+H9-H10</f>
        <v>185000</v>
      </c>
      <c r="I11" s="101">
        <f t="shared" si="0"/>
        <v>1522500</v>
      </c>
      <c r="J11" s="91"/>
    </row>
    <row r="12" spans="1:10" x14ac:dyDescent="0.2">
      <c r="A12" s="54" t="s">
        <v>68</v>
      </c>
      <c r="B12" s="111">
        <v>85000</v>
      </c>
      <c r="C12" s="111">
        <v>217000</v>
      </c>
      <c r="D12" s="111">
        <v>177700</v>
      </c>
      <c r="E12" s="111">
        <v>192000</v>
      </c>
      <c r="F12" s="111">
        <v>156700</v>
      </c>
      <c r="G12" s="111">
        <v>267000</v>
      </c>
      <c r="H12" s="111">
        <v>185000</v>
      </c>
      <c r="I12" s="101">
        <f t="shared" si="0"/>
        <v>1280400</v>
      </c>
      <c r="J12" s="91"/>
    </row>
    <row r="13" spans="1:10" x14ac:dyDescent="0.2">
      <c r="A13" s="54" t="s">
        <v>69</v>
      </c>
      <c r="B13" s="111">
        <f t="shared" ref="B13:H13" si="1">B11-B12</f>
        <v>40000</v>
      </c>
      <c r="C13" s="111">
        <f t="shared" si="1"/>
        <v>3000</v>
      </c>
      <c r="D13" s="111">
        <f t="shared" si="1"/>
        <v>62300</v>
      </c>
      <c r="E13" s="111">
        <f t="shared" si="1"/>
        <v>58000</v>
      </c>
      <c r="F13" s="111">
        <f t="shared" si="1"/>
        <v>40800</v>
      </c>
      <c r="G13" s="111">
        <f t="shared" si="1"/>
        <v>38000</v>
      </c>
      <c r="H13" s="111">
        <f t="shared" si="1"/>
        <v>0</v>
      </c>
      <c r="I13" s="101">
        <f t="shared" si="0"/>
        <v>242100</v>
      </c>
      <c r="J13" s="91"/>
    </row>
    <row r="14" spans="1:10" x14ac:dyDescent="0.2">
      <c r="A14" s="97" t="s">
        <v>70</v>
      </c>
      <c r="B14" s="111">
        <v>25100</v>
      </c>
      <c r="C14" s="111">
        <v>25000</v>
      </c>
      <c r="D14" s="111">
        <v>34400</v>
      </c>
      <c r="E14" s="111">
        <v>27000</v>
      </c>
      <c r="F14" s="111">
        <v>35000</v>
      </c>
      <c r="G14" s="111">
        <v>28600</v>
      </c>
      <c r="H14" s="111">
        <v>16500</v>
      </c>
      <c r="I14" s="101">
        <f t="shared" si="0"/>
        <v>191600</v>
      </c>
      <c r="J14" s="91"/>
    </row>
    <row r="15" spans="1:10" hidden="1" x14ac:dyDescent="0.2">
      <c r="A15" s="110" t="s">
        <v>71</v>
      </c>
      <c r="B15" s="109"/>
      <c r="C15" s="109"/>
      <c r="D15" s="109"/>
      <c r="E15" s="109"/>
      <c r="F15" s="109"/>
      <c r="G15" s="109"/>
      <c r="H15" s="109"/>
      <c r="I15" s="101">
        <f t="shared" si="0"/>
        <v>0</v>
      </c>
    </row>
    <row r="16" spans="1:10" hidden="1" x14ac:dyDescent="0.2">
      <c r="A16" s="108" t="s">
        <v>72</v>
      </c>
      <c r="B16" s="107"/>
      <c r="C16" s="107"/>
      <c r="D16" s="107"/>
      <c r="E16" s="107"/>
      <c r="F16" s="107"/>
      <c r="G16" s="107"/>
      <c r="H16" s="107"/>
      <c r="I16" s="101">
        <f t="shared" si="0"/>
        <v>0</v>
      </c>
    </row>
    <row r="17" spans="1:13" hidden="1" x14ac:dyDescent="0.2">
      <c r="A17" s="106" t="s">
        <v>73</v>
      </c>
      <c r="B17" s="102"/>
      <c r="C17" s="102"/>
      <c r="D17" s="102"/>
      <c r="E17" s="102"/>
      <c r="F17" s="102"/>
      <c r="G17" s="102"/>
      <c r="H17" s="102"/>
      <c r="I17" s="101">
        <f t="shared" si="0"/>
        <v>0</v>
      </c>
    </row>
    <row r="18" spans="1:13" hidden="1" x14ac:dyDescent="0.2">
      <c r="A18" s="106" t="s">
        <v>74</v>
      </c>
      <c r="B18" s="102"/>
      <c r="C18" s="102"/>
      <c r="D18" s="102"/>
      <c r="E18" s="102"/>
      <c r="F18" s="102"/>
      <c r="G18" s="102"/>
      <c r="H18" s="102"/>
      <c r="I18" s="101">
        <f t="shared" si="0"/>
        <v>0</v>
      </c>
    </row>
    <row r="19" spans="1:13" hidden="1" x14ac:dyDescent="0.2">
      <c r="A19" s="106" t="s">
        <v>75</v>
      </c>
      <c r="B19" s="102"/>
      <c r="C19" s="102"/>
      <c r="D19" s="102"/>
      <c r="E19" s="102"/>
      <c r="F19" s="102"/>
      <c r="G19" s="102"/>
      <c r="H19" s="102"/>
      <c r="I19" s="101">
        <f t="shared" si="0"/>
        <v>0</v>
      </c>
    </row>
    <row r="20" spans="1:13" hidden="1" x14ac:dyDescent="0.2">
      <c r="A20" s="105" t="s">
        <v>76</v>
      </c>
      <c r="B20" s="104"/>
      <c r="C20" s="104"/>
      <c r="D20" s="104"/>
      <c r="E20" s="104"/>
      <c r="F20" s="104"/>
      <c r="G20" s="104"/>
      <c r="H20" s="104"/>
      <c r="I20" s="98">
        <f t="shared" si="0"/>
        <v>0</v>
      </c>
    </row>
    <row r="21" spans="1:13" hidden="1" x14ac:dyDescent="0.2">
      <c r="A21" s="75" t="s">
        <v>77</v>
      </c>
      <c r="B21" s="103"/>
      <c r="C21" s="103"/>
      <c r="D21" s="103"/>
      <c r="E21" s="103"/>
      <c r="F21" s="103"/>
      <c r="G21" s="103"/>
      <c r="H21" s="103"/>
      <c r="I21" s="101">
        <f t="shared" si="0"/>
        <v>0</v>
      </c>
    </row>
    <row r="22" spans="1:13" hidden="1" x14ac:dyDescent="0.2">
      <c r="A22" s="54" t="s">
        <v>78</v>
      </c>
      <c r="B22" s="102"/>
      <c r="C22" s="102"/>
      <c r="D22" s="102"/>
      <c r="E22" s="102"/>
      <c r="F22" s="102"/>
      <c r="G22" s="102"/>
      <c r="H22" s="102"/>
      <c r="I22" s="101">
        <f t="shared" si="0"/>
        <v>0</v>
      </c>
    </row>
    <row r="23" spans="1:13" hidden="1" x14ac:dyDescent="0.2">
      <c r="A23" s="75" t="s">
        <v>79</v>
      </c>
      <c r="B23" s="103"/>
      <c r="C23" s="103"/>
      <c r="D23" s="103"/>
      <c r="E23" s="103"/>
      <c r="F23" s="103"/>
      <c r="G23" s="103"/>
      <c r="H23" s="103"/>
      <c r="I23" s="101">
        <f t="shared" si="0"/>
        <v>0</v>
      </c>
    </row>
    <row r="24" spans="1:13" hidden="1" x14ac:dyDescent="0.2">
      <c r="A24" s="54" t="s">
        <v>80</v>
      </c>
      <c r="B24" s="102"/>
      <c r="C24" s="102"/>
      <c r="D24" s="102"/>
      <c r="E24" s="102"/>
      <c r="F24" s="102"/>
      <c r="G24" s="102"/>
      <c r="H24" s="102"/>
      <c r="I24" s="101">
        <f t="shared" si="0"/>
        <v>0</v>
      </c>
    </row>
    <row r="25" spans="1:13" hidden="1" x14ac:dyDescent="0.2">
      <c r="A25" s="54" t="s">
        <v>81</v>
      </c>
      <c r="B25" s="102"/>
      <c r="C25" s="102"/>
      <c r="D25" s="102"/>
      <c r="E25" s="102"/>
      <c r="F25" s="102"/>
      <c r="G25" s="102"/>
      <c r="H25" s="102"/>
      <c r="I25" s="101">
        <f t="shared" si="0"/>
        <v>0</v>
      </c>
    </row>
    <row r="26" spans="1:13" hidden="1" x14ac:dyDescent="0.2">
      <c r="A26" s="100" t="s">
        <v>82</v>
      </c>
      <c r="B26" s="99"/>
      <c r="C26" s="99"/>
      <c r="D26" s="99"/>
      <c r="E26" s="99"/>
      <c r="F26" s="99"/>
      <c r="G26" s="99"/>
      <c r="H26" s="99"/>
      <c r="I26" s="98">
        <f t="shared" si="0"/>
        <v>0</v>
      </c>
    </row>
    <row r="27" spans="1:13" hidden="1" x14ac:dyDescent="0.2">
      <c r="A27" s="97" t="s">
        <v>83</v>
      </c>
      <c r="B27" s="96"/>
      <c r="C27" s="96"/>
      <c r="D27" s="96"/>
      <c r="E27" s="96"/>
      <c r="F27" s="96"/>
      <c r="G27" s="96"/>
      <c r="H27" s="96"/>
      <c r="I27" s="95"/>
      <c r="L27" s="44"/>
    </row>
    <row r="28" spans="1:13" x14ac:dyDescent="0.2">
      <c r="A28" s="94" t="s">
        <v>84</v>
      </c>
      <c r="B28" s="93">
        <v>400000</v>
      </c>
      <c r="C28" s="93">
        <v>365000</v>
      </c>
      <c r="D28" s="93">
        <v>500000</v>
      </c>
      <c r="E28" s="93">
        <v>386000</v>
      </c>
      <c r="F28" s="93">
        <v>550000</v>
      </c>
      <c r="G28" s="93">
        <v>387000</v>
      </c>
      <c r="H28" s="93">
        <v>235000</v>
      </c>
      <c r="I28" s="92">
        <f>SUM(B28:H28)</f>
        <v>2823000</v>
      </c>
      <c r="J28" s="91"/>
      <c r="K28" s="85"/>
      <c r="L28" s="90"/>
      <c r="M28" s="89"/>
    </row>
    <row r="29" spans="1:13" x14ac:dyDescent="0.2">
      <c r="A29" s="88" t="s">
        <v>85</v>
      </c>
      <c r="B29" s="87" t="s">
        <v>86</v>
      </c>
      <c r="C29" s="87" t="s">
        <v>87</v>
      </c>
      <c r="D29" s="87" t="s">
        <v>86</v>
      </c>
      <c r="E29" s="87" t="s">
        <v>87</v>
      </c>
      <c r="F29" s="87" t="s">
        <v>88</v>
      </c>
      <c r="G29" s="87" t="s">
        <v>87</v>
      </c>
      <c r="H29" s="87" t="s">
        <v>87</v>
      </c>
      <c r="I29" s="86"/>
    </row>
    <row r="30" spans="1:13" x14ac:dyDescent="0.2">
      <c r="A30" s="84" t="s">
        <v>89</v>
      </c>
      <c r="B30" s="83">
        <v>0</v>
      </c>
      <c r="C30" s="83">
        <v>266880</v>
      </c>
      <c r="D30" s="83">
        <v>160000</v>
      </c>
      <c r="E30" s="83">
        <v>258688</v>
      </c>
      <c r="F30" s="83">
        <v>281000</v>
      </c>
      <c r="G30" s="83">
        <v>232000</v>
      </c>
      <c r="H30" s="83">
        <v>155600</v>
      </c>
      <c r="I30" s="82">
        <f>SUM(B30:H30)</f>
        <v>1354168</v>
      </c>
      <c r="K30" s="85"/>
    </row>
    <row r="31" spans="1:13" x14ac:dyDescent="0.2">
      <c r="A31" s="84" t="s">
        <v>90</v>
      </c>
      <c r="B31" s="83"/>
      <c r="C31" s="83"/>
      <c r="D31" s="83">
        <v>76000</v>
      </c>
      <c r="E31" s="83"/>
      <c r="F31" s="83"/>
      <c r="G31" s="83"/>
      <c r="H31" s="83"/>
      <c r="I31" s="82">
        <f>SUM(B31:H31)</f>
        <v>76000</v>
      </c>
    </row>
    <row r="32" spans="1:13" x14ac:dyDescent="0.2">
      <c r="A32" s="84" t="s">
        <v>91</v>
      </c>
      <c r="B32" s="83"/>
      <c r="C32" s="83"/>
      <c r="D32" s="83">
        <v>22000</v>
      </c>
      <c r="E32" s="83"/>
      <c r="F32" s="83"/>
      <c r="G32" s="83"/>
      <c r="H32" s="83"/>
      <c r="I32" s="82">
        <f>SUM(B32:H32)</f>
        <v>22000</v>
      </c>
    </row>
    <row r="33" spans="1:11" x14ac:dyDescent="0.2">
      <c r="A33" s="84" t="s">
        <v>92</v>
      </c>
      <c r="B33" s="83">
        <v>79000</v>
      </c>
      <c r="C33" s="83"/>
      <c r="D33" s="83"/>
      <c r="E33" s="83"/>
      <c r="F33" s="83"/>
      <c r="G33" s="83"/>
      <c r="H33" s="83"/>
      <c r="I33" s="82">
        <f>SUM(B33:H33)</f>
        <v>79000</v>
      </c>
    </row>
    <row r="34" spans="1:11" ht="16" thickBot="1" x14ac:dyDescent="0.25">
      <c r="A34" s="81" t="s">
        <v>93</v>
      </c>
      <c r="B34" s="80">
        <f t="shared" ref="B34:I34" si="2">SUM(B30:B33)</f>
        <v>79000</v>
      </c>
      <c r="C34" s="80">
        <f t="shared" si="2"/>
        <v>266880</v>
      </c>
      <c r="D34" s="80">
        <f t="shared" si="2"/>
        <v>258000</v>
      </c>
      <c r="E34" s="80">
        <f t="shared" si="2"/>
        <v>258688</v>
      </c>
      <c r="F34" s="80">
        <f t="shared" si="2"/>
        <v>281000</v>
      </c>
      <c r="G34" s="80">
        <f t="shared" si="2"/>
        <v>232000</v>
      </c>
      <c r="H34" s="80">
        <f t="shared" si="2"/>
        <v>155600</v>
      </c>
      <c r="I34" s="79">
        <f t="shared" si="2"/>
        <v>1531168</v>
      </c>
    </row>
    <row r="35" spans="1:11" x14ac:dyDescent="0.2">
      <c r="A35" s="75" t="s">
        <v>94</v>
      </c>
      <c r="B35" s="53">
        <f t="shared" ref="B35:I35" si="3">B28-B34</f>
        <v>321000</v>
      </c>
      <c r="C35" s="53">
        <f t="shared" si="3"/>
        <v>98120</v>
      </c>
      <c r="D35" s="53">
        <f t="shared" si="3"/>
        <v>242000</v>
      </c>
      <c r="E35" s="53">
        <f t="shared" si="3"/>
        <v>127312</v>
      </c>
      <c r="F35" s="53">
        <f t="shared" si="3"/>
        <v>269000</v>
      </c>
      <c r="G35" s="53">
        <f t="shared" si="3"/>
        <v>155000</v>
      </c>
      <c r="H35" s="53">
        <f t="shared" si="3"/>
        <v>79400</v>
      </c>
      <c r="I35" s="53">
        <f t="shared" si="3"/>
        <v>1291832</v>
      </c>
    </row>
    <row r="36" spans="1:11" x14ac:dyDescent="0.2">
      <c r="A36" s="75" t="s">
        <v>95</v>
      </c>
      <c r="B36" s="53">
        <f>(((B28-B9)*0.5)+B13)*$A$52</f>
        <v>81250</v>
      </c>
      <c r="C36" s="53">
        <f t="shared" ref="C36:I36" si="4">(((C28-C9)*0.5)+C13)*$A$52</f>
        <v>32750</v>
      </c>
      <c r="D36" s="53">
        <f t="shared" si="4"/>
        <v>86150</v>
      </c>
      <c r="E36" s="53">
        <f t="shared" si="4"/>
        <v>53000</v>
      </c>
      <c r="F36" s="53">
        <f t="shared" si="4"/>
        <v>45400</v>
      </c>
      <c r="G36" s="53">
        <f t="shared" si="4"/>
        <v>27000</v>
      </c>
      <c r="H36" s="53">
        <f t="shared" si="4"/>
        <v>6250</v>
      </c>
      <c r="I36" s="53">
        <f t="shared" si="4"/>
        <v>331800</v>
      </c>
    </row>
    <row r="37" spans="1:11" ht="16" thickBot="1" x14ac:dyDescent="0.25">
      <c r="A37" s="78" t="s">
        <v>96</v>
      </c>
      <c r="B37" s="77">
        <f t="shared" ref="B37:I37" si="5">+B35-B36</f>
        <v>239750</v>
      </c>
      <c r="C37" s="76">
        <f t="shared" si="5"/>
        <v>65370</v>
      </c>
      <c r="D37" s="76">
        <f t="shared" si="5"/>
        <v>155850</v>
      </c>
      <c r="E37" s="76">
        <f t="shared" si="5"/>
        <v>74312</v>
      </c>
      <c r="F37" s="76">
        <f t="shared" si="5"/>
        <v>223600</v>
      </c>
      <c r="G37" s="76">
        <f t="shared" si="5"/>
        <v>128000</v>
      </c>
      <c r="H37" s="76">
        <f t="shared" si="5"/>
        <v>73150</v>
      </c>
      <c r="I37" s="76">
        <f t="shared" si="5"/>
        <v>960032</v>
      </c>
    </row>
    <row r="38" spans="1:11" ht="16" thickTop="1" x14ac:dyDescent="0.2">
      <c r="A38" s="75" t="s">
        <v>97</v>
      </c>
      <c r="B38" s="74">
        <f>B34/B28</f>
        <v>0.19750000000000001</v>
      </c>
      <c r="C38" s="74">
        <f t="shared" ref="C38:I38" si="6">C34/C28</f>
        <v>0.73117808219178082</v>
      </c>
      <c r="D38" s="74">
        <f t="shared" si="6"/>
        <v>0.51600000000000001</v>
      </c>
      <c r="E38" s="74">
        <f t="shared" si="6"/>
        <v>0.67017616580310879</v>
      </c>
      <c r="F38" s="74">
        <f t="shared" si="6"/>
        <v>0.51090909090909087</v>
      </c>
      <c r="G38" s="74">
        <f t="shared" si="6"/>
        <v>0.59948320413436695</v>
      </c>
      <c r="H38" s="74">
        <f t="shared" si="6"/>
        <v>0.66212765957446806</v>
      </c>
      <c r="I38" s="74">
        <f t="shared" si="6"/>
        <v>0.54239036486007797</v>
      </c>
    </row>
    <row r="39" spans="1:11" x14ac:dyDescent="0.2">
      <c r="A39" s="54" t="s">
        <v>98</v>
      </c>
      <c r="B39" s="73"/>
      <c r="C39" s="73"/>
      <c r="D39" s="73"/>
      <c r="E39" s="73"/>
      <c r="F39" s="73"/>
      <c r="G39" s="73"/>
      <c r="H39" s="73"/>
      <c r="I39" s="53">
        <f>SUM(B39:H39)</f>
        <v>0</v>
      </c>
    </row>
    <row r="40" spans="1:11" x14ac:dyDescent="0.2">
      <c r="A40" s="54" t="s">
        <v>99</v>
      </c>
      <c r="B40" s="73"/>
      <c r="C40" s="73"/>
      <c r="D40" s="73"/>
      <c r="E40" s="73"/>
      <c r="F40" s="73"/>
      <c r="G40" s="73"/>
      <c r="H40" s="73"/>
      <c r="I40" s="53">
        <f>SUM(B40:H40)</f>
        <v>0</v>
      </c>
    </row>
    <row r="41" spans="1:11" x14ac:dyDescent="0.2">
      <c r="A41" s="72" t="s">
        <v>100</v>
      </c>
      <c r="B41" s="71"/>
      <c r="C41" s="71"/>
      <c r="D41" s="71"/>
      <c r="E41" s="71"/>
      <c r="F41" s="71"/>
      <c r="G41" s="71"/>
      <c r="H41" s="71"/>
      <c r="I41" s="53">
        <f>SUM(B41:H41)</f>
        <v>0</v>
      </c>
    </row>
    <row r="42" spans="1:11" x14ac:dyDescent="0.2">
      <c r="A42" s="70" t="s">
        <v>101</v>
      </c>
      <c r="B42" s="69">
        <f>+B33*0.04/12</f>
        <v>263.33333333333331</v>
      </c>
      <c r="C42" s="69">
        <v>1296</v>
      </c>
      <c r="D42" s="69">
        <f>967+466+272+172</f>
        <v>1877</v>
      </c>
      <c r="E42" s="69">
        <v>1582</v>
      </c>
      <c r="F42" s="69">
        <v>1636</v>
      </c>
      <c r="G42" s="69">
        <v>1303</v>
      </c>
      <c r="H42" s="69">
        <v>823</v>
      </c>
      <c r="I42" s="69">
        <f>SUM(B42:H42)</f>
        <v>8780.3333333333321</v>
      </c>
      <c r="K42" s="68"/>
    </row>
    <row r="43" spans="1:11" x14ac:dyDescent="0.2">
      <c r="A43" s="67" t="s">
        <v>102</v>
      </c>
      <c r="B43" s="66">
        <v>0.04</v>
      </c>
      <c r="C43" s="66">
        <v>2.9399999999999999E-2</v>
      </c>
      <c r="D43" s="66">
        <v>0.03</v>
      </c>
      <c r="E43" s="66">
        <v>3.09E-2</v>
      </c>
      <c r="F43" s="66">
        <v>3.09E-2</v>
      </c>
      <c r="G43" s="66">
        <v>2.7900000000000001E-2</v>
      </c>
      <c r="H43" s="66">
        <v>2.7900000000000001E-2</v>
      </c>
      <c r="I43" s="65"/>
    </row>
    <row r="44" spans="1:11" x14ac:dyDescent="0.2">
      <c r="A44" s="64" t="s">
        <v>103</v>
      </c>
      <c r="B44" s="63"/>
      <c r="C44" s="63" t="s">
        <v>104</v>
      </c>
      <c r="D44" s="63"/>
      <c r="E44" s="63" t="s">
        <v>105</v>
      </c>
      <c r="F44" s="63" t="s">
        <v>106</v>
      </c>
      <c r="G44" s="63" t="s">
        <v>107</v>
      </c>
      <c r="H44" s="63"/>
      <c r="I44" s="62"/>
    </row>
    <row r="45" spans="1:11" x14ac:dyDescent="0.2">
      <c r="A45" s="61" t="s">
        <v>108</v>
      </c>
      <c r="B45" s="60"/>
      <c r="C45" s="60"/>
      <c r="D45" s="60"/>
      <c r="E45" s="60"/>
      <c r="F45" s="60"/>
      <c r="G45" s="60"/>
      <c r="H45" s="60"/>
      <c r="I45" s="59"/>
    </row>
    <row r="46" spans="1:11" x14ac:dyDescent="0.2">
      <c r="A46" s="58" t="s">
        <v>109</v>
      </c>
      <c r="B46" s="56">
        <v>1</v>
      </c>
      <c r="C46" s="56">
        <v>1</v>
      </c>
      <c r="D46" s="56">
        <v>1</v>
      </c>
      <c r="E46" s="56">
        <v>1</v>
      </c>
      <c r="F46" s="57">
        <v>0.5</v>
      </c>
      <c r="G46" s="56">
        <v>1</v>
      </c>
      <c r="H46" s="56">
        <v>1</v>
      </c>
      <c r="I46" s="55"/>
    </row>
    <row r="47" spans="1:11" x14ac:dyDescent="0.2">
      <c r="A47" s="54" t="s">
        <v>110</v>
      </c>
      <c r="B47" s="53">
        <f t="shared" ref="B47:H47" si="7">+B46*B35</f>
        <v>321000</v>
      </c>
      <c r="C47" s="52">
        <f t="shared" si="7"/>
        <v>98120</v>
      </c>
      <c r="D47" s="52">
        <f t="shared" si="7"/>
        <v>242000</v>
      </c>
      <c r="E47" s="52">
        <f t="shared" si="7"/>
        <v>127312</v>
      </c>
      <c r="F47" s="52">
        <f t="shared" si="7"/>
        <v>134500</v>
      </c>
      <c r="G47" s="52">
        <f t="shared" si="7"/>
        <v>155000</v>
      </c>
      <c r="H47" s="52">
        <f t="shared" si="7"/>
        <v>79400</v>
      </c>
      <c r="I47" s="51">
        <f>SUM(B47:H47)</f>
        <v>1157332</v>
      </c>
    </row>
    <row r="48" spans="1:11" x14ac:dyDescent="0.2">
      <c r="A48" s="50" t="s">
        <v>111</v>
      </c>
      <c r="B48" s="49">
        <f t="shared" ref="B48:H48" si="8">+B46*B37</f>
        <v>239750</v>
      </c>
      <c r="C48" s="48">
        <f t="shared" si="8"/>
        <v>65370</v>
      </c>
      <c r="D48" s="48">
        <f t="shared" si="8"/>
        <v>155850</v>
      </c>
      <c r="E48" s="48">
        <f t="shared" si="8"/>
        <v>74312</v>
      </c>
      <c r="F48" s="48">
        <f t="shared" si="8"/>
        <v>111800</v>
      </c>
      <c r="G48" s="48">
        <f t="shared" si="8"/>
        <v>128000</v>
      </c>
      <c r="H48" s="48">
        <f t="shared" si="8"/>
        <v>73150</v>
      </c>
      <c r="I48" s="47">
        <f>SUM(B48:H48)</f>
        <v>848232</v>
      </c>
    </row>
    <row r="50" spans="1:1" x14ac:dyDescent="0.2">
      <c r="A50" s="44" t="s">
        <v>112</v>
      </c>
    </row>
    <row r="51" spans="1:1" x14ac:dyDescent="0.2">
      <c r="A51" s="44" t="s">
        <v>113</v>
      </c>
    </row>
    <row r="52" spans="1:1" x14ac:dyDescent="0.2">
      <c r="A52" s="46">
        <v>0.5</v>
      </c>
    </row>
  </sheetData>
  <pageMargins left="0.70866141732283472" right="0.70866141732283472" top="0.74803149606299213" bottom="0.74803149606299213" header="0.31496062992125984" footer="0.31496062992125984"/>
  <pageSetup paperSize="11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E67A-6CFA-47C6-B5F5-DBF76CC5C2EC}">
  <sheetPr codeName="Feuil9"/>
  <dimension ref="A1:H80"/>
  <sheetViews>
    <sheetView tabSelected="1" zoomScale="130" zoomScaleNormal="130" zoomScaleSheetLayoutView="115" workbookViewId="0">
      <selection activeCell="H22" sqref="H22"/>
    </sheetView>
  </sheetViews>
  <sheetFormatPr baseColWidth="10" defaultColWidth="11.3984375" defaultRowHeight="14" x14ac:dyDescent="0.2"/>
  <cols>
    <col min="1" max="1" width="17.59765625" bestFit="1" customWidth="1"/>
    <col min="2" max="2" width="34.59765625" customWidth="1"/>
    <col min="3" max="3" width="41" bestFit="1" customWidth="1"/>
    <col min="4" max="5" width="13.59765625" customWidth="1"/>
    <col min="6" max="6" width="14.796875" bestFit="1" customWidth="1"/>
    <col min="7" max="7" width="17" customWidth="1"/>
    <col min="8" max="8" width="16.19921875" style="13" bestFit="1" customWidth="1"/>
    <col min="9" max="9" width="17.3984375" bestFit="1" customWidth="1"/>
  </cols>
  <sheetData>
    <row r="1" spans="1:8" ht="17" thickBot="1" x14ac:dyDescent="0.25">
      <c r="A1" s="747" t="s">
        <v>114</v>
      </c>
      <c r="B1" s="748"/>
      <c r="C1" s="748"/>
      <c r="D1" s="748"/>
      <c r="E1" s="748"/>
      <c r="F1" s="748"/>
      <c r="G1" s="749"/>
      <c r="H1" s="232" t="s">
        <v>115</v>
      </c>
    </row>
    <row r="2" spans="1:8" ht="16" x14ac:dyDescent="0.2">
      <c r="A2" s="137" t="s">
        <v>116</v>
      </c>
      <c r="B2" s="140" t="s">
        <v>117</v>
      </c>
      <c r="C2" s="140" t="s">
        <v>118</v>
      </c>
      <c r="D2" s="141" t="s">
        <v>119</v>
      </c>
      <c r="E2" s="141" t="s">
        <v>120</v>
      </c>
      <c r="F2" s="141" t="s">
        <v>121</v>
      </c>
      <c r="G2" s="221" t="s">
        <v>122</v>
      </c>
      <c r="H2" s="233"/>
    </row>
    <row r="3" spans="1:8" ht="15" x14ac:dyDescent="0.2">
      <c r="A3" s="249" t="str">
        <f>+Informations!B1</f>
        <v>Monsieur A</v>
      </c>
      <c r="B3" s="250"/>
      <c r="C3" s="251"/>
      <c r="D3" s="245"/>
      <c r="E3" s="245"/>
      <c r="F3" s="245"/>
      <c r="G3" s="246"/>
      <c r="H3" s="165"/>
    </row>
    <row r="4" spans="1:8" ht="15" x14ac:dyDescent="0.2">
      <c r="A4" s="252"/>
      <c r="B4" s="250"/>
      <c r="C4" s="251"/>
      <c r="D4" s="245"/>
      <c r="E4" s="245"/>
      <c r="F4" s="245"/>
      <c r="G4" s="246"/>
      <c r="H4" s="165"/>
    </row>
    <row r="5" spans="1:8" ht="15" x14ac:dyDescent="0.2">
      <c r="A5" s="252"/>
      <c r="B5" s="250"/>
      <c r="C5" s="189"/>
      <c r="D5" s="245"/>
      <c r="E5" s="245"/>
      <c r="F5" s="245"/>
      <c r="G5" s="246"/>
      <c r="H5" s="165"/>
    </row>
    <row r="6" spans="1:8" ht="15" x14ac:dyDescent="0.2">
      <c r="A6" s="252"/>
      <c r="B6" s="250"/>
      <c r="C6" s="251"/>
      <c r="D6" s="245"/>
      <c r="E6" s="245"/>
      <c r="F6" s="245"/>
      <c r="G6" s="246"/>
      <c r="H6" s="165"/>
    </row>
    <row r="7" spans="1:8" ht="15" x14ac:dyDescent="0.2">
      <c r="A7" s="252"/>
      <c r="B7" s="250"/>
      <c r="C7" s="253"/>
      <c r="D7" s="245"/>
      <c r="E7" s="245"/>
      <c r="F7" s="245"/>
      <c r="G7" s="246"/>
      <c r="H7" s="165"/>
    </row>
    <row r="8" spans="1:8" ht="15" x14ac:dyDescent="0.2">
      <c r="A8" s="249" t="str">
        <f>Informations!B2</f>
        <v>Madame B</v>
      </c>
      <c r="B8" s="250"/>
      <c r="C8" s="251"/>
      <c r="D8" s="245"/>
      <c r="E8" s="245"/>
      <c r="F8" s="245"/>
      <c r="G8" s="246"/>
      <c r="H8" s="165"/>
    </row>
    <row r="9" spans="1:8" ht="15" x14ac:dyDescent="0.2">
      <c r="A9" s="249"/>
      <c r="B9" s="250"/>
      <c r="C9" s="251"/>
      <c r="D9" s="245"/>
      <c r="E9" s="245"/>
      <c r="F9" s="245"/>
      <c r="G9" s="246"/>
      <c r="H9" s="165"/>
    </row>
    <row r="10" spans="1:8" ht="15" x14ac:dyDescent="0.2">
      <c r="A10" s="254"/>
      <c r="B10" s="250"/>
      <c r="C10" s="189"/>
      <c r="D10" s="245"/>
      <c r="E10" s="245"/>
      <c r="F10" s="245"/>
      <c r="G10" s="246"/>
      <c r="H10" s="234"/>
    </row>
    <row r="11" spans="1:8" ht="15" x14ac:dyDescent="0.2">
      <c r="A11" s="254"/>
      <c r="B11" s="250"/>
      <c r="C11" s="251"/>
      <c r="D11" s="245"/>
      <c r="E11" s="245"/>
      <c r="F11" s="245"/>
      <c r="G11" s="246"/>
      <c r="H11" s="234"/>
    </row>
    <row r="12" spans="1:8" ht="15" x14ac:dyDescent="0.2">
      <c r="A12" s="254"/>
      <c r="B12" s="250"/>
      <c r="C12" s="251"/>
      <c r="D12" s="247"/>
      <c r="E12" s="247"/>
      <c r="F12" s="247"/>
      <c r="G12" s="246"/>
      <c r="H12" s="234"/>
    </row>
    <row r="13" spans="1:8" ht="15" x14ac:dyDescent="0.2">
      <c r="A13" s="254"/>
      <c r="B13" s="250"/>
      <c r="C13" s="251"/>
      <c r="D13" s="247"/>
      <c r="E13" s="247"/>
      <c r="F13" s="247"/>
      <c r="G13" s="246"/>
      <c r="H13" s="234"/>
    </row>
    <row r="14" spans="1:8" ht="15" x14ac:dyDescent="0.2">
      <c r="A14" s="249" t="str">
        <f>+Informations!B5</f>
        <v xml:space="preserve"> </v>
      </c>
      <c r="B14" s="250"/>
      <c r="C14" s="251"/>
      <c r="D14" s="247"/>
      <c r="E14" s="247"/>
      <c r="F14" s="247"/>
      <c r="G14" s="246"/>
      <c r="H14" s="234"/>
    </row>
    <row r="15" spans="1:8" ht="15" x14ac:dyDescent="0.2">
      <c r="A15" s="254"/>
      <c r="B15" s="250"/>
      <c r="C15" s="251"/>
      <c r="D15" s="247"/>
      <c r="E15" s="247"/>
      <c r="F15" s="247"/>
      <c r="G15" s="246"/>
      <c r="H15" s="234"/>
    </row>
    <row r="16" spans="1:8" ht="16" thickBot="1" x14ac:dyDescent="0.25">
      <c r="A16" s="249" t="str">
        <f>+Informations!B6</f>
        <v xml:space="preserve"> </v>
      </c>
      <c r="B16" s="250"/>
      <c r="C16" s="251"/>
      <c r="D16" s="247"/>
      <c r="E16" s="247"/>
      <c r="F16" s="247"/>
      <c r="G16" s="246"/>
      <c r="H16" s="234"/>
    </row>
    <row r="17" spans="1:8" ht="16" thickBot="1" x14ac:dyDescent="0.25">
      <c r="A17" s="254"/>
      <c r="B17" s="250"/>
      <c r="C17" s="251"/>
      <c r="D17" s="247"/>
      <c r="E17" s="247"/>
      <c r="F17" s="247"/>
      <c r="G17" s="248"/>
      <c r="H17" s="290" t="s">
        <v>245</v>
      </c>
    </row>
    <row r="18" spans="1:8" ht="16" thickBot="1" x14ac:dyDescent="0.25">
      <c r="A18" s="192"/>
      <c r="B18" s="193"/>
      <c r="C18" s="194" t="str">
        <f>+A3</f>
        <v>Monsieur A</v>
      </c>
      <c r="D18" s="195">
        <f>SUM(D3:D16)</f>
        <v>0</v>
      </c>
      <c r="E18" s="195">
        <f>SUM(E3:E14)</f>
        <v>0</v>
      </c>
      <c r="F18" s="195">
        <f>SUM(F3:F16)</f>
        <v>0</v>
      </c>
      <c r="G18" s="223">
        <f>SUM(G3:G7)</f>
        <v>0</v>
      </c>
      <c r="H18" s="288">
        <f>+G18*12/(IF(Status!H8&gt;0,Status!H8,IF(Status!G8&gt;0,Status!G8,IF(Status!F8&gt;0,Status!F8,IF(Status!E8&gt;0,Status!E8,IF(Status!D8&gt;0,Status!D8,IF(Status!C8&gt;0,Status!C8,0)))))))</f>
        <v>0</v>
      </c>
    </row>
    <row r="19" spans="1:8" ht="16" thickBot="1" x14ac:dyDescent="0.25">
      <c r="A19" s="192"/>
      <c r="B19" s="193"/>
      <c r="C19" s="194" t="str">
        <f>+A8</f>
        <v>Madame B</v>
      </c>
      <c r="D19" s="195">
        <f>SUM(D9:D13)</f>
        <v>0</v>
      </c>
      <c r="E19" s="195">
        <f t="shared" ref="E19:F19" si="0">SUM(E9:E13)</f>
        <v>0</v>
      </c>
      <c r="F19" s="195">
        <f t="shared" si="0"/>
        <v>0</v>
      </c>
      <c r="G19" s="223">
        <f>SUM(G8:G12)</f>
        <v>0</v>
      </c>
      <c r="H19" s="288">
        <f>+G19*12/(IF(Status!H19&gt;0,Status!H19,IF(Status!G19&gt;0,Status!G19,IF(Status!F19&gt;0,Status!F19,IF(Status!E19&gt;0,Status!E19,IF(Status!D19&gt;0,Status!D19,IF(Status!C19&gt;0,Status!C19,0)))))))</f>
        <v>0</v>
      </c>
    </row>
    <row r="20" spans="1:8" ht="16" thickBot="1" x14ac:dyDescent="0.25">
      <c r="A20" s="192"/>
      <c r="B20" s="193"/>
      <c r="C20" s="194" t="str">
        <f>A14</f>
        <v xml:space="preserve"> </v>
      </c>
      <c r="D20" s="195">
        <f t="shared" ref="D20:E20" si="1">SUM(D14:D14)</f>
        <v>0</v>
      </c>
      <c r="E20" s="195">
        <f t="shared" si="1"/>
        <v>0</v>
      </c>
      <c r="F20" s="195">
        <f>SUM(F14:F14)</f>
        <v>0</v>
      </c>
      <c r="G20" s="223">
        <f>SUM(G14:G14)</f>
        <v>0</v>
      </c>
      <c r="H20" s="292"/>
    </row>
    <row r="21" spans="1:8" ht="16" thickBot="1" x14ac:dyDescent="0.25">
      <c r="A21" s="192"/>
      <c r="B21" s="193"/>
      <c r="C21" s="194" t="str">
        <f>+A16</f>
        <v xml:space="preserve"> </v>
      </c>
      <c r="D21" s="195">
        <f t="shared" ref="D21:E21" si="2">SUM(D16:D16)</f>
        <v>0</v>
      </c>
      <c r="E21" s="195">
        <f t="shared" si="2"/>
        <v>0</v>
      </c>
      <c r="F21" s="195">
        <f>SUM(F16:F16)</f>
        <v>0</v>
      </c>
      <c r="G21" s="223">
        <f>SUM(G16:G16)</f>
        <v>0</v>
      </c>
      <c r="H21" s="291"/>
    </row>
    <row r="22" spans="1:8" ht="17" thickBot="1" x14ac:dyDescent="0.25">
      <c r="A22" s="192"/>
      <c r="B22" s="196"/>
      <c r="C22" s="197"/>
      <c r="D22" s="198"/>
      <c r="E22" s="198"/>
      <c r="F22" s="139" t="s">
        <v>44</v>
      </c>
      <c r="G22" s="224">
        <f>SUM(G18:G21)</f>
        <v>0</v>
      </c>
      <c r="H22" s="289">
        <f>+G22*12/((IF(Status!H8&gt;0,Status!H8,IF(Status!G8&gt;0,Status!G8,IF(Status!F8&gt;0,Status!F8,IF(Status!E8&gt;0,Status!E8,IF(Status!D8&gt;0,Status!D8,IF(Status!C8&gt;0,Status!C8,0)))))))+(IF(Status!H19&gt;0,Status!H19,IF(Status!G19&gt;0,Status!G19,IF(Status!F19&gt;0,Status!F19,IF(Status!E19&gt;0,Status!E19,IF(Status!D19&gt;0,Status!D19,IF(Status!C19&gt;0,Status!C19,0))))))))</f>
        <v>0</v>
      </c>
    </row>
    <row r="23" spans="1:8" ht="15" x14ac:dyDescent="0.2">
      <c r="A23" s="143" t="s">
        <v>125</v>
      </c>
      <c r="B23" s="750"/>
      <c r="C23" s="750"/>
      <c r="D23" s="750"/>
      <c r="E23" s="750"/>
      <c r="F23" s="750"/>
      <c r="G23" s="751"/>
      <c r="H23" s="235"/>
    </row>
    <row r="24" spans="1:8" ht="15" x14ac:dyDescent="0.2">
      <c r="A24" s="144"/>
      <c r="B24" s="752"/>
      <c r="C24" s="752"/>
      <c r="D24" s="752"/>
      <c r="E24" s="752"/>
      <c r="F24" s="752"/>
      <c r="G24" s="753"/>
      <c r="H24" s="235"/>
    </row>
    <row r="25" spans="1:8" ht="16" thickBot="1" x14ac:dyDescent="0.25">
      <c r="A25" s="192"/>
      <c r="B25" s="142"/>
      <c r="C25" s="197"/>
      <c r="D25" s="198"/>
      <c r="E25" s="198"/>
      <c r="F25" s="198"/>
      <c r="G25" s="222"/>
      <c r="H25" s="235"/>
    </row>
    <row r="26" spans="1:8" ht="17" thickBot="1" x14ac:dyDescent="0.25">
      <c r="A26" s="754" t="s">
        <v>126</v>
      </c>
      <c r="B26" s="755"/>
      <c r="C26" s="755"/>
      <c r="D26" s="755"/>
      <c r="E26" s="755"/>
      <c r="F26" s="755"/>
      <c r="G26" s="756"/>
      <c r="H26" s="166"/>
    </row>
    <row r="27" spans="1:8" ht="15" x14ac:dyDescent="0.2">
      <c r="A27" s="161" t="s">
        <v>116</v>
      </c>
      <c r="B27" s="162" t="s">
        <v>117</v>
      </c>
      <c r="C27" s="162" t="s">
        <v>118</v>
      </c>
      <c r="D27" s="163" t="s">
        <v>119</v>
      </c>
      <c r="E27" s="163" t="s">
        <v>120</v>
      </c>
      <c r="F27" s="163" t="s">
        <v>121</v>
      </c>
      <c r="G27" s="225" t="s">
        <v>122</v>
      </c>
      <c r="H27" s="237"/>
    </row>
    <row r="28" spans="1:8" ht="15" x14ac:dyDescent="0.2">
      <c r="A28" s="255" t="str">
        <f>+Informations!B1</f>
        <v>Monsieur A</v>
      </c>
      <c r="B28" s="22"/>
      <c r="C28" s="146"/>
      <c r="D28" s="168"/>
      <c r="E28" s="168"/>
      <c r="F28" s="168"/>
      <c r="G28" s="226"/>
      <c r="H28" s="165"/>
    </row>
    <row r="29" spans="1:8" ht="15" x14ac:dyDescent="0.2">
      <c r="A29" s="256"/>
      <c r="B29" s="22"/>
      <c r="C29" s="22"/>
      <c r="D29" s="168"/>
      <c r="E29" s="168"/>
      <c r="F29" s="168"/>
      <c r="G29" s="226"/>
      <c r="H29" s="165"/>
    </row>
    <row r="30" spans="1:8" ht="15" x14ac:dyDescent="0.2">
      <c r="A30" s="256"/>
      <c r="B30" s="19"/>
      <c r="C30" s="22"/>
      <c r="D30" s="186"/>
      <c r="E30" s="186"/>
      <c r="F30" s="186"/>
      <c r="G30" s="227"/>
      <c r="H30" s="165"/>
    </row>
    <row r="31" spans="1:8" ht="15.75" customHeight="1" x14ac:dyDescent="0.2">
      <c r="A31" s="256"/>
      <c r="B31" s="19"/>
      <c r="C31" s="22"/>
      <c r="D31" s="186"/>
      <c r="E31" s="186"/>
      <c r="F31" s="186"/>
      <c r="G31" s="227"/>
      <c r="H31" s="165"/>
    </row>
    <row r="32" spans="1:8" ht="15" x14ac:dyDescent="0.2">
      <c r="A32" s="256"/>
      <c r="B32" s="19"/>
      <c r="C32" s="19"/>
      <c r="D32" s="186"/>
      <c r="E32" s="186"/>
      <c r="F32" s="186"/>
      <c r="G32" s="227"/>
      <c r="H32" s="165"/>
    </row>
    <row r="33" spans="1:8" ht="15" x14ac:dyDescent="0.2">
      <c r="A33" s="256"/>
      <c r="B33" s="19"/>
      <c r="C33" s="146"/>
      <c r="D33" s="186"/>
      <c r="E33" s="186"/>
      <c r="F33" s="186"/>
      <c r="G33" s="227"/>
      <c r="H33" s="235"/>
    </row>
    <row r="34" spans="1:8" ht="15" x14ac:dyDescent="0.2">
      <c r="A34" s="257" t="str">
        <f>+Informations!B2</f>
        <v>Madame B</v>
      </c>
      <c r="B34" s="19"/>
      <c r="C34" s="19"/>
      <c r="D34" s="186"/>
      <c r="E34" s="186"/>
      <c r="F34" s="186"/>
      <c r="G34" s="227"/>
      <c r="H34" s="235"/>
    </row>
    <row r="35" spans="1:8" ht="15" x14ac:dyDescent="0.2">
      <c r="A35" s="256"/>
      <c r="B35" s="19"/>
      <c r="C35" s="19"/>
      <c r="D35" s="186"/>
      <c r="E35" s="186"/>
      <c r="F35" s="186"/>
      <c r="G35" s="227"/>
      <c r="H35" s="235"/>
    </row>
    <row r="36" spans="1:8" ht="15" x14ac:dyDescent="0.2">
      <c r="A36" s="256"/>
      <c r="B36" s="19"/>
      <c r="C36" s="19"/>
      <c r="D36" s="186"/>
      <c r="E36" s="186"/>
      <c r="F36" s="186"/>
      <c r="G36" s="227"/>
      <c r="H36" s="235"/>
    </row>
    <row r="37" spans="1:8" ht="15" x14ac:dyDescent="0.2">
      <c r="A37" s="256"/>
      <c r="B37" s="145"/>
      <c r="C37" s="145"/>
      <c r="D37" s="186"/>
      <c r="E37" s="186"/>
      <c r="F37" s="186"/>
      <c r="G37" s="227"/>
      <c r="H37" s="165"/>
    </row>
    <row r="38" spans="1:8" ht="15" x14ac:dyDescent="0.2">
      <c r="A38" s="256"/>
      <c r="B38" s="145"/>
      <c r="C38" s="145"/>
      <c r="D38" s="186"/>
      <c r="E38" s="186"/>
      <c r="F38" s="186"/>
      <c r="G38" s="227"/>
      <c r="H38" s="235"/>
    </row>
    <row r="39" spans="1:8" ht="15" x14ac:dyDescent="0.2">
      <c r="A39" s="255" t="str">
        <f>+Informations!B5</f>
        <v xml:space="preserve"> </v>
      </c>
      <c r="B39" s="22"/>
      <c r="C39" s="146"/>
      <c r="D39" s="186"/>
      <c r="E39" s="186"/>
      <c r="F39" s="186"/>
      <c r="G39" s="227"/>
      <c r="H39" s="235"/>
    </row>
    <row r="40" spans="1:8" ht="15" x14ac:dyDescent="0.2">
      <c r="A40" s="256"/>
      <c r="B40" s="22"/>
      <c r="C40" s="146"/>
      <c r="D40" s="186"/>
      <c r="E40" s="186"/>
      <c r="F40" s="186"/>
      <c r="G40" s="227"/>
      <c r="H40" s="235"/>
    </row>
    <row r="41" spans="1:8" ht="16" thickBot="1" x14ac:dyDescent="0.25">
      <c r="A41" s="255" t="str">
        <f>+Informations!B6</f>
        <v xml:space="preserve"> </v>
      </c>
      <c r="B41" s="22"/>
      <c r="C41" s="146"/>
      <c r="D41" s="186"/>
      <c r="E41" s="186"/>
      <c r="F41" s="186"/>
      <c r="G41" s="227"/>
      <c r="H41" s="238"/>
    </row>
    <row r="42" spans="1:8" ht="16" thickBot="1" x14ac:dyDescent="0.25">
      <c r="A42" s="256"/>
      <c r="B42" s="19"/>
      <c r="C42" s="146"/>
      <c r="D42" s="186"/>
      <c r="E42" s="186"/>
      <c r="F42" s="186"/>
      <c r="G42" s="228"/>
      <c r="H42" s="290" t="s">
        <v>245</v>
      </c>
    </row>
    <row r="43" spans="1:8" ht="16" thickBot="1" x14ac:dyDescent="0.25">
      <c r="A43" s="199"/>
      <c r="B43" s="200"/>
      <c r="C43" s="194" t="str">
        <f>+A28</f>
        <v>Monsieur A</v>
      </c>
      <c r="D43" s="195">
        <f>SUM(D28:D30)</f>
        <v>0</v>
      </c>
      <c r="E43" s="195">
        <f>SUM(E28:E30)</f>
        <v>0</v>
      </c>
      <c r="F43" s="195">
        <f>SUM(F28:F31)</f>
        <v>0</v>
      </c>
      <c r="G43" s="223">
        <f>SUM(G28:G33)</f>
        <v>0</v>
      </c>
      <c r="H43" s="288">
        <f>+G43*12/(IF(Status!H8&gt;0,Status!H8,IF(Status!G8&gt;0,Status!G8,IF(Status!F8&gt;0,Status!F8,IF(Status!E8&gt;0,Status!E8,IF(Status!D8&gt;0,Status!D8,IF(Status!C8&gt;0,Status!C8,0)))))))</f>
        <v>0</v>
      </c>
    </row>
    <row r="44" spans="1:8" ht="16" thickBot="1" x14ac:dyDescent="0.25">
      <c r="A44" s="199"/>
      <c r="B44" s="200"/>
      <c r="C44" s="194" t="str">
        <f>+A34</f>
        <v>Madame B</v>
      </c>
      <c r="D44" s="195">
        <f>SUM(D34:D37)</f>
        <v>0</v>
      </c>
      <c r="E44" s="195">
        <f>SUM(E34:E37)</f>
        <v>0</v>
      </c>
      <c r="F44" s="195">
        <f>SUM(F34:F37)</f>
        <v>0</v>
      </c>
      <c r="G44" s="223">
        <f>SUM(G34:G38)</f>
        <v>0</v>
      </c>
      <c r="H44" s="288">
        <f>+G44*12/(IF(Status!H19&gt;0,Status!H19,IF(Status!G19&gt;0,Status!G19,IF(Status!F19&gt;0,Status!F19,IF(Status!E19&gt;0,Status!E19,IF(Status!D19&gt;0,Status!D19,IF(Status!C19&gt;0,Status!C19,0)))))))</f>
        <v>0</v>
      </c>
    </row>
    <row r="45" spans="1:8" ht="16" thickBot="1" x14ac:dyDescent="0.25">
      <c r="A45" s="199"/>
      <c r="B45" s="200"/>
      <c r="C45" s="194" t="str">
        <f>+A39</f>
        <v xml:space="preserve"> </v>
      </c>
      <c r="D45" s="195">
        <f>SUM(D39:D39)</f>
        <v>0</v>
      </c>
      <c r="E45" s="195">
        <f>SUM(E39:E39)</f>
        <v>0</v>
      </c>
      <c r="F45" s="195">
        <f>SUM(F39:F39)</f>
        <v>0</v>
      </c>
      <c r="G45" s="223">
        <f>SUM(G39:G39)</f>
        <v>0</v>
      </c>
      <c r="H45" s="292"/>
    </row>
    <row r="46" spans="1:8" ht="16" thickBot="1" x14ac:dyDescent="0.25">
      <c r="A46" s="199"/>
      <c r="B46" s="147"/>
      <c r="C46" s="194" t="str">
        <f>+A41</f>
        <v xml:space="preserve"> </v>
      </c>
      <c r="D46" s="195">
        <f>SUM(D41:D41)</f>
        <v>0</v>
      </c>
      <c r="E46" s="195">
        <f>SUM(E41:E41)</f>
        <v>0</v>
      </c>
      <c r="F46" s="195">
        <f>SUM(F41:F41)</f>
        <v>0</v>
      </c>
      <c r="G46" s="223">
        <f>SUM(G41:G41)</f>
        <v>0</v>
      </c>
      <c r="H46" s="291"/>
    </row>
    <row r="47" spans="1:8" ht="17" thickBot="1" x14ac:dyDescent="0.25">
      <c r="A47" s="199"/>
      <c r="B47" s="201"/>
      <c r="C47" s="202"/>
      <c r="D47" s="203"/>
      <c r="E47" s="203"/>
      <c r="F47" s="187" t="s">
        <v>44</v>
      </c>
      <c r="G47" s="223">
        <f>SUM(G43:G46)</f>
        <v>0</v>
      </c>
      <c r="H47" s="289">
        <f>+G47*12/((IF(Status!H8&gt;0,Status!H8,IF(Status!G8&gt;0,Status!G8,IF(Status!F8&gt;0,Status!F8,IF(Status!E8&gt;0,Status!E8,IF(Status!D8&gt;0,Status!D8,IF(Status!C8&gt;0,Status!C8,0)))))))+(IF(Status!H19&gt;0,Status!H19,IF(Status!G19&gt;0,Status!G19,IF(Status!F19&gt;0,Status!F19,IF(Status!E19&gt;0,Status!E19,IF(Status!D19&gt;0,Status!D19,IF(Status!C19&gt;0,Status!C19,0))))))))</f>
        <v>0</v>
      </c>
    </row>
    <row r="48" spans="1:8" ht="15" x14ac:dyDescent="0.2">
      <c r="A48" s="199"/>
      <c r="B48" s="201"/>
      <c r="C48" s="202"/>
      <c r="D48" s="204"/>
      <c r="E48" s="204"/>
      <c r="F48" s="148"/>
      <c r="G48" s="229"/>
      <c r="H48" s="236"/>
    </row>
    <row r="49" spans="1:8" ht="15" customHeight="1" x14ac:dyDescent="0.2">
      <c r="A49" s="149" t="s">
        <v>128</v>
      </c>
      <c r="B49" s="757"/>
      <c r="C49" s="757"/>
      <c r="D49" s="757"/>
      <c r="E49" s="757"/>
      <c r="F49" s="757"/>
      <c r="G49" s="758"/>
      <c r="H49" s="236"/>
    </row>
    <row r="50" spans="1:8" ht="15" x14ac:dyDescent="0.2">
      <c r="A50" s="205"/>
      <c r="B50" s="759"/>
      <c r="C50" s="759"/>
      <c r="D50" s="759"/>
      <c r="E50" s="759"/>
      <c r="F50" s="759"/>
      <c r="G50" s="760"/>
      <c r="H50" s="236"/>
    </row>
    <row r="51" spans="1:8" ht="15" x14ac:dyDescent="0.2">
      <c r="A51" s="205"/>
      <c r="B51" s="759"/>
      <c r="C51" s="759"/>
      <c r="D51" s="759"/>
      <c r="E51" s="759"/>
      <c r="F51" s="759"/>
      <c r="G51" s="760"/>
      <c r="H51" s="236"/>
    </row>
    <row r="52" spans="1:8" ht="15" x14ac:dyDescent="0.2">
      <c r="A52" s="206"/>
      <c r="B52" s="761"/>
      <c r="C52" s="761"/>
      <c r="D52" s="761"/>
      <c r="E52" s="761"/>
      <c r="F52" s="761"/>
      <c r="G52" s="762"/>
      <c r="H52" s="236"/>
    </row>
    <row r="53" spans="1:8" ht="16" thickBot="1" x14ac:dyDescent="0.25">
      <c r="A53" s="207"/>
      <c r="B53" s="208"/>
      <c r="C53" s="209"/>
      <c r="D53" s="210"/>
      <c r="E53" s="210"/>
      <c r="F53" s="23"/>
      <c r="G53" s="230"/>
      <c r="H53" s="236"/>
    </row>
    <row r="54" spans="1:8" ht="16" thickBot="1" x14ac:dyDescent="0.25">
      <c r="A54" s="764" t="s">
        <v>246</v>
      </c>
      <c r="B54" s="765"/>
      <c r="C54" s="765"/>
      <c r="D54" s="765"/>
      <c r="E54" s="765"/>
      <c r="F54" s="765"/>
      <c r="G54" s="766"/>
      <c r="H54" s="239"/>
    </row>
    <row r="55" spans="1:8" ht="16" x14ac:dyDescent="0.2">
      <c r="A55" s="767" t="s">
        <v>116</v>
      </c>
      <c r="B55" s="769" t="s">
        <v>117</v>
      </c>
      <c r="C55" s="769" t="s">
        <v>118</v>
      </c>
      <c r="D55" s="771" t="s">
        <v>129</v>
      </c>
      <c r="E55" s="773" t="s">
        <v>130</v>
      </c>
      <c r="F55" s="773"/>
      <c r="G55" s="771" t="s">
        <v>122</v>
      </c>
      <c r="H55" s="763" t="s">
        <v>131</v>
      </c>
    </row>
    <row r="56" spans="1:8" ht="16" x14ac:dyDescent="0.2">
      <c r="A56" s="768"/>
      <c r="B56" s="770"/>
      <c r="C56" s="770"/>
      <c r="D56" s="772"/>
      <c r="E56" s="150" t="s">
        <v>132</v>
      </c>
      <c r="F56" s="150" t="s">
        <v>133</v>
      </c>
      <c r="G56" s="772"/>
      <c r="H56" s="763"/>
    </row>
    <row r="57" spans="1:8" x14ac:dyDescent="0.2">
      <c r="A57" s="138"/>
      <c r="B57" s="167" t="s">
        <v>127</v>
      </c>
      <c r="C57" s="151" t="s">
        <v>134</v>
      </c>
      <c r="D57" s="169">
        <v>70000</v>
      </c>
      <c r="E57" s="169">
        <v>102612</v>
      </c>
      <c r="F57" s="169">
        <v>145769</v>
      </c>
      <c r="G57" s="231">
        <v>78.010000000000005</v>
      </c>
      <c r="H57" s="293">
        <f>+G57*12*20</f>
        <v>18722.400000000001</v>
      </c>
    </row>
    <row r="58" spans="1:8" x14ac:dyDescent="0.2">
      <c r="A58" s="138"/>
      <c r="B58" s="167"/>
      <c r="C58" s="151"/>
      <c r="D58" s="169"/>
      <c r="E58" s="169"/>
      <c r="F58" s="169"/>
      <c r="G58" s="231"/>
      <c r="H58" s="293"/>
    </row>
    <row r="59" spans="1:8" x14ac:dyDescent="0.2">
      <c r="A59" s="138"/>
      <c r="B59" s="167"/>
      <c r="C59" s="151"/>
      <c r="D59" s="169"/>
      <c r="E59" s="169"/>
      <c r="F59" s="169"/>
      <c r="G59" s="231"/>
      <c r="H59" s="293"/>
    </row>
    <row r="60" spans="1:8" x14ac:dyDescent="0.2">
      <c r="A60" s="138"/>
      <c r="B60" s="167"/>
      <c r="C60" s="151"/>
      <c r="D60" s="169"/>
      <c r="E60" s="169"/>
      <c r="F60" s="169"/>
      <c r="G60" s="231"/>
      <c r="H60" s="240"/>
    </row>
    <row r="61" spans="1:8" ht="15" x14ac:dyDescent="0.2">
      <c r="H61" s="235"/>
    </row>
    <row r="62" spans="1:8" ht="15" x14ac:dyDescent="0.2">
      <c r="H62" s="235"/>
    </row>
    <row r="63" spans="1:8" ht="15" x14ac:dyDescent="0.2">
      <c r="H63" s="235"/>
    </row>
    <row r="64" spans="1:8" x14ac:dyDescent="0.2">
      <c r="H64" s="165"/>
    </row>
    <row r="65" spans="8:8" ht="15" x14ac:dyDescent="0.2">
      <c r="H65" s="235"/>
    </row>
    <row r="66" spans="8:8" ht="15" x14ac:dyDescent="0.2">
      <c r="H66" s="235"/>
    </row>
    <row r="67" spans="8:8" ht="15" x14ac:dyDescent="0.2">
      <c r="H67" s="235"/>
    </row>
    <row r="68" spans="8:8" x14ac:dyDescent="0.2">
      <c r="H68" s="238"/>
    </row>
    <row r="69" spans="8:8" ht="15" x14ac:dyDescent="0.2">
      <c r="H69" s="235"/>
    </row>
    <row r="70" spans="8:8" ht="15" x14ac:dyDescent="0.2">
      <c r="H70" s="235"/>
    </row>
    <row r="71" spans="8:8" ht="15" x14ac:dyDescent="0.2">
      <c r="H71" s="235"/>
    </row>
    <row r="72" spans="8:8" ht="15" x14ac:dyDescent="0.2">
      <c r="H72" s="235"/>
    </row>
    <row r="73" spans="8:8" ht="15" x14ac:dyDescent="0.2">
      <c r="H73" s="235"/>
    </row>
    <row r="74" spans="8:8" ht="15" x14ac:dyDescent="0.2">
      <c r="H74" s="236"/>
    </row>
    <row r="75" spans="8:8" ht="15" x14ac:dyDescent="0.2">
      <c r="H75" s="236"/>
    </row>
    <row r="76" spans="8:8" ht="15" customHeight="1" x14ac:dyDescent="0.2">
      <c r="H76" s="236"/>
    </row>
    <row r="77" spans="8:8" ht="15" x14ac:dyDescent="0.2">
      <c r="H77" s="236"/>
    </row>
    <row r="78" spans="8:8" ht="15" x14ac:dyDescent="0.2">
      <c r="H78" s="236"/>
    </row>
    <row r="79" spans="8:8" ht="15" x14ac:dyDescent="0.2">
      <c r="H79" s="236"/>
    </row>
    <row r="80" spans="8:8" ht="15" x14ac:dyDescent="0.2">
      <c r="H80" s="236"/>
    </row>
  </sheetData>
  <mergeCells count="12">
    <mergeCell ref="A1:G1"/>
    <mergeCell ref="B23:G24"/>
    <mergeCell ref="A26:G26"/>
    <mergeCell ref="B49:G52"/>
    <mergeCell ref="H55:H56"/>
    <mergeCell ref="A54:G54"/>
    <mergeCell ref="A55:A56"/>
    <mergeCell ref="B55:B56"/>
    <mergeCell ref="C55:C56"/>
    <mergeCell ref="D55:D56"/>
    <mergeCell ref="E55:F55"/>
    <mergeCell ref="G55:G56"/>
  </mergeCells>
  <pageMargins left="0.7" right="0.7" top="0.75" bottom="0.75" header="0.3" footer="0.3"/>
  <pageSetup scale="56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C9E4-92C2-4B8F-81E3-D76764970487}">
  <sheetPr codeName="Feuil10"/>
  <dimension ref="A1:G18"/>
  <sheetViews>
    <sheetView zoomScale="130" zoomScaleNormal="130" zoomScaleSheetLayoutView="115" workbookViewId="0">
      <selection activeCell="H8" sqref="H8"/>
    </sheetView>
  </sheetViews>
  <sheetFormatPr baseColWidth="10" defaultColWidth="11.3984375" defaultRowHeight="14" x14ac:dyDescent="0.2"/>
  <cols>
    <col min="1" max="1" width="12.796875" style="259" bestFit="1" customWidth="1"/>
    <col min="2" max="2" width="31.19921875" style="259" customWidth="1"/>
    <col min="3" max="3" width="24.19921875" style="259" customWidth="1"/>
    <col min="4" max="4" width="44.3984375" style="259" bestFit="1" customWidth="1"/>
    <col min="5" max="6" width="17" style="259" customWidth="1"/>
    <col min="7" max="7" width="13.796875" style="271" bestFit="1" customWidth="1"/>
    <col min="8" max="16384" width="11.3984375" style="259"/>
  </cols>
  <sheetData>
    <row r="1" spans="1:7" ht="16" thickBot="1" x14ac:dyDescent="0.25">
      <c r="A1" s="774" t="s">
        <v>229</v>
      </c>
      <c r="B1" s="775"/>
      <c r="C1" s="775"/>
      <c r="D1" s="775"/>
      <c r="E1" s="775"/>
      <c r="F1" s="776"/>
      <c r="G1" s="258" t="s">
        <v>115</v>
      </c>
    </row>
    <row r="2" spans="1:7" ht="15" x14ac:dyDescent="0.2">
      <c r="A2" s="260" t="s">
        <v>243</v>
      </c>
      <c r="B2" s="261" t="s">
        <v>230</v>
      </c>
      <c r="C2" s="261" t="s">
        <v>231</v>
      </c>
      <c r="D2" s="261" t="s">
        <v>232</v>
      </c>
      <c r="E2" s="262" t="s">
        <v>122</v>
      </c>
      <c r="F2" s="263" t="s">
        <v>233</v>
      </c>
      <c r="G2" s="264"/>
    </row>
    <row r="3" spans="1:7" ht="15" x14ac:dyDescent="0.2">
      <c r="A3" s="268" t="s">
        <v>236</v>
      </c>
      <c r="B3" s="266" t="s">
        <v>234</v>
      </c>
      <c r="C3" s="267">
        <v>44844</v>
      </c>
      <c r="D3" s="268" t="s">
        <v>244</v>
      </c>
      <c r="E3" s="269">
        <v>1</v>
      </c>
      <c r="F3" s="270">
        <f>E3*12</f>
        <v>12</v>
      </c>
      <c r="G3" s="165"/>
    </row>
    <row r="4" spans="1:7" ht="15" x14ac:dyDescent="0.2">
      <c r="A4" s="268" t="s">
        <v>237</v>
      </c>
      <c r="B4" s="266" t="s">
        <v>234</v>
      </c>
      <c r="C4" s="267">
        <v>44844</v>
      </c>
      <c r="D4" s="268"/>
      <c r="E4" s="269">
        <v>1</v>
      </c>
      <c r="F4" s="270">
        <f t="shared" ref="F4:F9" si="0">E4*12</f>
        <v>12</v>
      </c>
      <c r="G4" s="165"/>
    </row>
    <row r="5" spans="1:7" ht="15" x14ac:dyDescent="0.2">
      <c r="A5" s="268" t="s">
        <v>238</v>
      </c>
      <c r="B5" s="266" t="s">
        <v>234</v>
      </c>
      <c r="C5" s="267"/>
      <c r="D5" s="268"/>
      <c r="E5" s="269">
        <v>1</v>
      </c>
      <c r="F5" s="270">
        <f t="shared" si="0"/>
        <v>12</v>
      </c>
      <c r="G5" s="165"/>
    </row>
    <row r="6" spans="1:7" ht="15" x14ac:dyDescent="0.2">
      <c r="A6" s="268" t="s">
        <v>239</v>
      </c>
      <c r="B6" s="266" t="s">
        <v>235</v>
      </c>
      <c r="C6" s="267"/>
      <c r="D6" s="268"/>
      <c r="E6" s="269">
        <v>1</v>
      </c>
      <c r="F6" s="270">
        <f t="shared" si="0"/>
        <v>12</v>
      </c>
      <c r="G6" s="165"/>
    </row>
    <row r="7" spans="1:7" ht="15" x14ac:dyDescent="0.2">
      <c r="A7" s="268" t="s">
        <v>240</v>
      </c>
      <c r="B7" s="266" t="s">
        <v>235</v>
      </c>
      <c r="C7" s="267"/>
      <c r="D7" s="268"/>
      <c r="E7" s="269">
        <v>1</v>
      </c>
      <c r="F7" s="270">
        <f t="shared" si="0"/>
        <v>12</v>
      </c>
      <c r="G7" s="165"/>
    </row>
    <row r="8" spans="1:7" ht="15" x14ac:dyDescent="0.2">
      <c r="A8" s="268" t="s">
        <v>241</v>
      </c>
      <c r="B8" s="266" t="s">
        <v>242</v>
      </c>
      <c r="C8" s="267"/>
      <c r="D8" s="268"/>
      <c r="E8" s="269">
        <v>1</v>
      </c>
      <c r="F8" s="270">
        <f t="shared" si="0"/>
        <v>12</v>
      </c>
      <c r="G8" s="165"/>
    </row>
    <row r="9" spans="1:7" ht="15" x14ac:dyDescent="0.2">
      <c r="A9" s="265"/>
      <c r="B9" s="266"/>
      <c r="C9" s="266"/>
      <c r="D9" s="268"/>
      <c r="E9" s="269"/>
      <c r="F9" s="270">
        <f t="shared" si="0"/>
        <v>0</v>
      </c>
      <c r="G9" s="165"/>
    </row>
    <row r="10" spans="1:7" ht="15" x14ac:dyDescent="0.2">
      <c r="A10" s="265"/>
      <c r="B10" s="266"/>
      <c r="C10" s="266"/>
      <c r="D10" s="268"/>
      <c r="E10" s="269"/>
      <c r="F10" s="270"/>
      <c r="G10" s="165"/>
    </row>
    <row r="11" spans="1:7" ht="15" x14ac:dyDescent="0.2">
      <c r="A11" s="287"/>
      <c r="B11" s="266"/>
      <c r="C11" s="266"/>
      <c r="D11" s="268"/>
      <c r="E11" s="269"/>
      <c r="F11" s="270"/>
      <c r="G11" s="165"/>
    </row>
    <row r="12" spans="1:7" ht="15" x14ac:dyDescent="0.2">
      <c r="A12" s="265"/>
      <c r="B12" s="266"/>
      <c r="C12" s="266"/>
      <c r="D12" s="268"/>
      <c r="E12" s="269"/>
      <c r="F12" s="270"/>
      <c r="G12" s="234"/>
    </row>
    <row r="13" spans="1:7" ht="16" thickBot="1" x14ac:dyDescent="0.25">
      <c r="A13" s="265"/>
      <c r="B13" s="266"/>
      <c r="C13" s="266"/>
      <c r="D13" s="268"/>
      <c r="E13" s="269"/>
      <c r="F13" s="270"/>
      <c r="G13" s="234"/>
    </row>
    <row r="14" spans="1:7" ht="16" thickBot="1" x14ac:dyDescent="0.25">
      <c r="A14" s="272"/>
      <c r="B14" s="273"/>
      <c r="C14" s="273"/>
      <c r="D14" s="268"/>
      <c r="E14" s="274">
        <f>SUM(E3:E13)</f>
        <v>6</v>
      </c>
      <c r="F14" s="274">
        <f>SUM(F3:F13)</f>
        <v>72</v>
      </c>
      <c r="G14" s="275"/>
    </row>
    <row r="15" spans="1:7" ht="15" x14ac:dyDescent="0.2">
      <c r="A15" s="272"/>
      <c r="B15" s="276"/>
      <c r="C15" s="276"/>
      <c r="D15" s="277"/>
      <c r="E15" s="278"/>
      <c r="F15" s="279"/>
      <c r="G15" s="236"/>
    </row>
    <row r="16" spans="1:7" ht="15" customHeight="1" x14ac:dyDescent="0.2">
      <c r="A16" s="280" t="s">
        <v>125</v>
      </c>
      <c r="B16" s="777"/>
      <c r="C16" s="777"/>
      <c r="D16" s="777"/>
      <c r="E16" s="777"/>
      <c r="F16" s="778"/>
      <c r="G16" s="275"/>
    </row>
    <row r="17" spans="1:7" ht="15" x14ac:dyDescent="0.2">
      <c r="A17" s="280"/>
      <c r="B17" s="777"/>
      <c r="C17" s="777"/>
      <c r="D17" s="777"/>
      <c r="E17" s="777"/>
      <c r="F17" s="778"/>
      <c r="G17" s="275"/>
    </row>
    <row r="18" spans="1:7" ht="16" thickBot="1" x14ac:dyDescent="0.25">
      <c r="A18" s="281"/>
      <c r="B18" s="282"/>
      <c r="C18" s="282"/>
      <c r="D18" s="283"/>
      <c r="E18" s="284"/>
      <c r="F18" s="285"/>
      <c r="G18" s="286"/>
    </row>
  </sheetData>
  <mergeCells count="2">
    <mergeCell ref="A1:F1"/>
    <mergeCell ref="B16:F17"/>
  </mergeCells>
  <pageMargins left="0.7" right="0.7" top="0.75" bottom="0.75" header="0.3" footer="0.3"/>
  <pageSetup scale="56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8128-DFE9-406F-BE6F-B369B0EF5583}">
  <sheetPr codeName="Feuil11"/>
  <dimension ref="A1:Y185"/>
  <sheetViews>
    <sheetView zoomScale="80" zoomScaleNormal="80" workbookViewId="0">
      <pane xSplit="1" topLeftCell="B1" activePane="topRight" state="frozen"/>
      <selection activeCell="A38" sqref="A38"/>
      <selection pane="topRight" activeCell="N15" sqref="N15"/>
    </sheetView>
  </sheetViews>
  <sheetFormatPr baseColWidth="10" defaultColWidth="9" defaultRowHeight="14" x14ac:dyDescent="0.2"/>
  <cols>
    <col min="1" max="1" width="49.59765625" customWidth="1"/>
    <col min="2" max="13" width="16.19921875" style="732" customWidth="1"/>
    <col min="14" max="14" width="18.796875" style="732" customWidth="1"/>
    <col min="15" max="15" width="17" style="732" bestFit="1" customWidth="1"/>
    <col min="16" max="16" width="13.3984375" style="732" customWidth="1"/>
    <col min="17" max="25" width="8.796875" style="779"/>
  </cols>
  <sheetData>
    <row r="1" spans="1:16" ht="85.5" customHeight="1" x14ac:dyDescent="0.2">
      <c r="B1" s="704">
        <v>44927</v>
      </c>
      <c r="C1" s="704">
        <v>44958</v>
      </c>
      <c r="D1" s="704">
        <v>44986</v>
      </c>
      <c r="E1" s="704">
        <v>45017</v>
      </c>
      <c r="F1" s="704">
        <v>45047</v>
      </c>
      <c r="G1" s="704">
        <v>45078</v>
      </c>
      <c r="H1" s="704">
        <v>45108</v>
      </c>
      <c r="I1" s="704">
        <v>45139</v>
      </c>
      <c r="J1" s="704">
        <v>45170</v>
      </c>
      <c r="K1" s="704">
        <v>45200</v>
      </c>
      <c r="L1" s="704">
        <v>45231</v>
      </c>
      <c r="M1" s="704">
        <v>45261</v>
      </c>
      <c r="N1" s="705" t="s">
        <v>303</v>
      </c>
      <c r="O1" s="706" t="s">
        <v>44</v>
      </c>
      <c r="P1" s="707" t="s">
        <v>146</v>
      </c>
    </row>
    <row r="2" spans="1:16" ht="29" x14ac:dyDescent="0.35">
      <c r="A2" s="733" t="s">
        <v>304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9"/>
      <c r="O2" s="709"/>
      <c r="P2" s="708"/>
    </row>
    <row r="3" spans="1:16" ht="21" x14ac:dyDescent="0.25">
      <c r="A3" s="734" t="s">
        <v>305</v>
      </c>
      <c r="B3" s="710">
        <v>2500</v>
      </c>
      <c r="C3" s="710">
        <v>0</v>
      </c>
      <c r="D3" s="710">
        <v>0</v>
      </c>
      <c r="E3" s="710">
        <v>0</v>
      </c>
      <c r="F3" s="710">
        <v>0</v>
      </c>
      <c r="G3" s="710">
        <v>0</v>
      </c>
      <c r="H3" s="710">
        <v>0</v>
      </c>
      <c r="I3" s="710">
        <v>0</v>
      </c>
      <c r="J3" s="710">
        <v>0</v>
      </c>
      <c r="K3" s="710">
        <v>0</v>
      </c>
      <c r="L3" s="710">
        <v>0</v>
      </c>
      <c r="M3" s="710">
        <v>0</v>
      </c>
      <c r="N3" s="711">
        <f>AVERAGE(B3:M3)</f>
        <v>208.33333333333334</v>
      </c>
      <c r="O3" s="712">
        <f>SUM(B3:M3)</f>
        <v>2500</v>
      </c>
      <c r="P3" s="713">
        <f>O3/O$10</f>
        <v>1</v>
      </c>
    </row>
    <row r="4" spans="1:16" ht="21" x14ac:dyDescent="0.25">
      <c r="A4" s="734" t="s">
        <v>306</v>
      </c>
      <c r="B4" s="710">
        <v>0</v>
      </c>
      <c r="C4" s="710">
        <v>0</v>
      </c>
      <c r="D4" s="710">
        <v>0</v>
      </c>
      <c r="E4" s="710">
        <v>0</v>
      </c>
      <c r="F4" s="710">
        <v>0</v>
      </c>
      <c r="G4" s="710">
        <v>0</v>
      </c>
      <c r="H4" s="710">
        <v>0</v>
      </c>
      <c r="I4" s="710">
        <v>0</v>
      </c>
      <c r="J4" s="710">
        <v>0</v>
      </c>
      <c r="K4" s="710">
        <v>0</v>
      </c>
      <c r="L4" s="710">
        <v>0</v>
      </c>
      <c r="M4" s="710">
        <v>0</v>
      </c>
      <c r="N4" s="711">
        <f>AVERAGE(B4:M4)</f>
        <v>0</v>
      </c>
      <c r="O4" s="712">
        <f>SUM(B4:M4)</f>
        <v>0</v>
      </c>
      <c r="P4" s="713">
        <f t="shared" ref="P4:P9" si="0">O4/O$10</f>
        <v>0</v>
      </c>
    </row>
    <row r="5" spans="1:16" ht="21" x14ac:dyDescent="0.25">
      <c r="A5" s="734" t="s">
        <v>307</v>
      </c>
      <c r="B5" s="710">
        <v>0</v>
      </c>
      <c r="C5" s="710">
        <v>0</v>
      </c>
      <c r="D5" s="710">
        <v>0</v>
      </c>
      <c r="E5" s="710">
        <v>0</v>
      </c>
      <c r="F5" s="710">
        <v>0</v>
      </c>
      <c r="G5" s="710">
        <v>0</v>
      </c>
      <c r="H5" s="710">
        <v>0</v>
      </c>
      <c r="I5" s="710">
        <v>0</v>
      </c>
      <c r="J5" s="710">
        <v>0</v>
      </c>
      <c r="K5" s="710">
        <v>0</v>
      </c>
      <c r="L5" s="710">
        <v>0</v>
      </c>
      <c r="M5" s="710">
        <v>0</v>
      </c>
      <c r="N5" s="711">
        <f t="shared" ref="N5:N9" si="1">AVERAGE(B5:M5)</f>
        <v>0</v>
      </c>
      <c r="O5" s="712">
        <f>SUM(B5:M5)</f>
        <v>0</v>
      </c>
      <c r="P5" s="713">
        <f t="shared" si="0"/>
        <v>0</v>
      </c>
    </row>
    <row r="6" spans="1:16" ht="21" x14ac:dyDescent="0.25">
      <c r="A6" s="734" t="s">
        <v>308</v>
      </c>
      <c r="B6" s="710">
        <v>0</v>
      </c>
      <c r="C6" s="710">
        <v>0</v>
      </c>
      <c r="D6" s="710">
        <v>0</v>
      </c>
      <c r="E6" s="710">
        <v>0</v>
      </c>
      <c r="F6" s="710">
        <v>0</v>
      </c>
      <c r="G6" s="710">
        <v>0</v>
      </c>
      <c r="H6" s="710">
        <v>0</v>
      </c>
      <c r="I6" s="710">
        <v>0</v>
      </c>
      <c r="J6" s="710">
        <v>0</v>
      </c>
      <c r="K6" s="710">
        <v>0</v>
      </c>
      <c r="L6" s="710">
        <v>0</v>
      </c>
      <c r="M6" s="710">
        <v>0</v>
      </c>
      <c r="N6" s="711">
        <f t="shared" si="1"/>
        <v>0</v>
      </c>
      <c r="O6" s="712">
        <f t="shared" ref="O6:O9" si="2">SUM(B6:M6)</f>
        <v>0</v>
      </c>
      <c r="P6" s="713">
        <f>O6/O$10</f>
        <v>0</v>
      </c>
    </row>
    <row r="7" spans="1:16" ht="21" x14ac:dyDescent="0.25">
      <c r="A7" s="734" t="s">
        <v>309</v>
      </c>
      <c r="B7" s="710">
        <v>0</v>
      </c>
      <c r="C7" s="710">
        <v>0</v>
      </c>
      <c r="D7" s="710">
        <v>0</v>
      </c>
      <c r="E7" s="710">
        <v>0</v>
      </c>
      <c r="F7" s="710">
        <v>0</v>
      </c>
      <c r="G7" s="710">
        <v>0</v>
      </c>
      <c r="H7" s="710">
        <v>0</v>
      </c>
      <c r="I7" s="710">
        <v>0</v>
      </c>
      <c r="J7" s="710">
        <v>0</v>
      </c>
      <c r="K7" s="710">
        <v>0</v>
      </c>
      <c r="L7" s="710">
        <v>0</v>
      </c>
      <c r="M7" s="710">
        <v>0</v>
      </c>
      <c r="N7" s="711">
        <f t="shared" si="1"/>
        <v>0</v>
      </c>
      <c r="O7" s="712">
        <f t="shared" si="2"/>
        <v>0</v>
      </c>
      <c r="P7" s="713">
        <f t="shared" si="0"/>
        <v>0</v>
      </c>
    </row>
    <row r="8" spans="1:16" ht="21" x14ac:dyDescent="0.25">
      <c r="A8" s="734" t="s">
        <v>310</v>
      </c>
      <c r="B8" s="710">
        <v>0</v>
      </c>
      <c r="C8" s="710">
        <v>0</v>
      </c>
      <c r="D8" s="710">
        <v>0</v>
      </c>
      <c r="E8" s="710">
        <v>0</v>
      </c>
      <c r="F8" s="710">
        <v>0</v>
      </c>
      <c r="G8" s="710">
        <v>0</v>
      </c>
      <c r="H8" s="710">
        <v>0</v>
      </c>
      <c r="I8" s="710">
        <v>0</v>
      </c>
      <c r="J8" s="710">
        <v>0</v>
      </c>
      <c r="K8" s="710">
        <v>0</v>
      </c>
      <c r="L8" s="710">
        <v>0</v>
      </c>
      <c r="M8" s="710">
        <v>0</v>
      </c>
      <c r="N8" s="711">
        <f t="shared" si="1"/>
        <v>0</v>
      </c>
      <c r="O8" s="712">
        <f t="shared" si="2"/>
        <v>0</v>
      </c>
      <c r="P8" s="713">
        <f t="shared" si="0"/>
        <v>0</v>
      </c>
    </row>
    <row r="9" spans="1:16" ht="21" x14ac:dyDescent="0.25">
      <c r="A9" s="734" t="s">
        <v>311</v>
      </c>
      <c r="B9" s="710">
        <v>0</v>
      </c>
      <c r="C9" s="710">
        <v>0</v>
      </c>
      <c r="D9" s="710">
        <v>0</v>
      </c>
      <c r="E9" s="710">
        <v>0</v>
      </c>
      <c r="F9" s="710">
        <v>0</v>
      </c>
      <c r="G9" s="710">
        <v>0</v>
      </c>
      <c r="H9" s="710">
        <v>0</v>
      </c>
      <c r="I9" s="710">
        <v>0</v>
      </c>
      <c r="J9" s="710">
        <v>0</v>
      </c>
      <c r="K9" s="710">
        <v>0</v>
      </c>
      <c r="L9" s="710">
        <v>0</v>
      </c>
      <c r="M9" s="710">
        <v>0</v>
      </c>
      <c r="N9" s="711">
        <f t="shared" si="1"/>
        <v>0</v>
      </c>
      <c r="O9" s="712">
        <f t="shared" si="2"/>
        <v>0</v>
      </c>
      <c r="P9" s="713">
        <f t="shared" si="0"/>
        <v>0</v>
      </c>
    </row>
    <row r="10" spans="1:16" ht="21" x14ac:dyDescent="0.25">
      <c r="A10" s="735" t="s">
        <v>149</v>
      </c>
      <c r="B10" s="714">
        <f t="shared" ref="B10:M10" si="3">SUM(B3:B9)</f>
        <v>2500</v>
      </c>
      <c r="C10" s="714">
        <f t="shared" si="3"/>
        <v>0</v>
      </c>
      <c r="D10" s="714">
        <f t="shared" si="3"/>
        <v>0</v>
      </c>
      <c r="E10" s="714">
        <f t="shared" si="3"/>
        <v>0</v>
      </c>
      <c r="F10" s="714">
        <f t="shared" si="3"/>
        <v>0</v>
      </c>
      <c r="G10" s="714">
        <f t="shared" si="3"/>
        <v>0</v>
      </c>
      <c r="H10" s="714">
        <f t="shared" si="3"/>
        <v>0</v>
      </c>
      <c r="I10" s="714">
        <f t="shared" si="3"/>
        <v>0</v>
      </c>
      <c r="J10" s="714">
        <f t="shared" si="3"/>
        <v>0</v>
      </c>
      <c r="K10" s="714">
        <f t="shared" si="3"/>
        <v>0</v>
      </c>
      <c r="L10" s="714">
        <f t="shared" si="3"/>
        <v>0</v>
      </c>
      <c r="M10" s="714">
        <f t="shared" si="3"/>
        <v>0</v>
      </c>
      <c r="N10" s="715">
        <f>AVERAGE(B10:M10)</f>
        <v>208.33333333333334</v>
      </c>
      <c r="O10" s="715">
        <f>SUM(O3:O9)</f>
        <v>2500</v>
      </c>
      <c r="P10" s="716">
        <f t="shared" ref="P10" si="4">SUM(P3:P9)</f>
        <v>1</v>
      </c>
    </row>
    <row r="11" spans="1:16" ht="21" x14ac:dyDescent="0.25">
      <c r="A11" s="720"/>
      <c r="B11" s="717"/>
      <c r="C11" s="717"/>
      <c r="D11" s="717"/>
      <c r="E11" s="717"/>
      <c r="F11" s="717"/>
      <c r="G11" s="717"/>
      <c r="H11" s="717"/>
      <c r="I11" s="717"/>
      <c r="J11" s="717"/>
      <c r="K11" s="717"/>
      <c r="L11" s="718"/>
      <c r="M11" s="717"/>
      <c r="N11" s="719"/>
      <c r="O11" s="719"/>
      <c r="P11" s="720"/>
    </row>
    <row r="12" spans="1:16" ht="29" x14ac:dyDescent="0.35">
      <c r="A12" s="733" t="s">
        <v>150</v>
      </c>
      <c r="B12" s="721"/>
      <c r="C12" s="721"/>
      <c r="D12" s="721"/>
      <c r="E12" s="721"/>
      <c r="F12" s="721"/>
      <c r="G12" s="721"/>
      <c r="H12" s="721"/>
      <c r="I12" s="721"/>
      <c r="J12" s="721"/>
      <c r="K12" s="721"/>
      <c r="L12" s="721"/>
      <c r="M12" s="721"/>
      <c r="N12" s="722"/>
      <c r="O12" s="722"/>
      <c r="P12" s="708"/>
    </row>
    <row r="13" spans="1:16" ht="24" x14ac:dyDescent="0.3">
      <c r="A13" s="736" t="s">
        <v>312</v>
      </c>
      <c r="B13" s="723"/>
      <c r="C13" s="723"/>
      <c r="D13" s="723"/>
      <c r="E13" s="723"/>
      <c r="F13" s="723"/>
      <c r="G13" s="723"/>
      <c r="H13" s="723"/>
      <c r="I13" s="723"/>
      <c r="J13" s="723"/>
      <c r="K13" s="723"/>
      <c r="L13" s="723"/>
      <c r="M13" s="723"/>
      <c r="N13" s="724">
        <f>SUM(N14:N18)</f>
        <v>33.333333333333336</v>
      </c>
      <c r="O13" s="724">
        <f t="shared" ref="O13:P13" si="5">SUM(O14:O18)</f>
        <v>400</v>
      </c>
      <c r="P13" s="725">
        <f t="shared" si="5"/>
        <v>1</v>
      </c>
    </row>
    <row r="14" spans="1:16" ht="21" x14ac:dyDescent="0.25">
      <c r="A14" s="734" t="s">
        <v>152</v>
      </c>
      <c r="B14" s="710">
        <v>400</v>
      </c>
      <c r="C14" s="710">
        <v>0</v>
      </c>
      <c r="D14" s="710">
        <v>0</v>
      </c>
      <c r="E14" s="710">
        <v>0</v>
      </c>
      <c r="F14" s="710">
        <v>0</v>
      </c>
      <c r="G14" s="710">
        <v>0</v>
      </c>
      <c r="H14" s="710">
        <v>0</v>
      </c>
      <c r="I14" s="710">
        <v>0</v>
      </c>
      <c r="J14" s="710">
        <v>0</v>
      </c>
      <c r="K14" s="710">
        <v>0</v>
      </c>
      <c r="L14" s="710">
        <v>0</v>
      </c>
      <c r="M14" s="710">
        <v>0</v>
      </c>
      <c r="N14" s="711">
        <f>AVERAGE(B14:M14)</f>
        <v>33.333333333333336</v>
      </c>
      <c r="O14" s="712">
        <f>SUM(B14:M14)</f>
        <v>400</v>
      </c>
      <c r="P14" s="713">
        <f>O14/O$57</f>
        <v>1</v>
      </c>
    </row>
    <row r="15" spans="1:16" ht="21" x14ac:dyDescent="0.25">
      <c r="A15" s="734" t="s">
        <v>153</v>
      </c>
      <c r="B15" s="710">
        <v>0</v>
      </c>
      <c r="C15" s="710">
        <v>0</v>
      </c>
      <c r="D15" s="710">
        <v>0</v>
      </c>
      <c r="E15" s="710">
        <v>0</v>
      </c>
      <c r="F15" s="710">
        <v>0</v>
      </c>
      <c r="G15" s="710">
        <v>0</v>
      </c>
      <c r="H15" s="710">
        <v>0</v>
      </c>
      <c r="I15" s="710">
        <v>0</v>
      </c>
      <c r="J15" s="710">
        <v>0</v>
      </c>
      <c r="K15" s="710">
        <v>0</v>
      </c>
      <c r="L15" s="710">
        <v>0</v>
      </c>
      <c r="M15" s="710">
        <v>0</v>
      </c>
      <c r="N15" s="711">
        <f t="shared" ref="N15:N18" si="6">AVERAGE(B15:M15)</f>
        <v>0</v>
      </c>
      <c r="O15" s="712">
        <f t="shared" ref="O15:O18" si="7">SUM(B15:M15)</f>
        <v>0</v>
      </c>
      <c r="P15" s="713">
        <f>O15/O$57</f>
        <v>0</v>
      </c>
    </row>
    <row r="16" spans="1:16" ht="21" x14ac:dyDescent="0.25">
      <c r="A16" s="734" t="s">
        <v>154</v>
      </c>
      <c r="B16" s="710">
        <v>0</v>
      </c>
      <c r="C16" s="710">
        <v>0</v>
      </c>
      <c r="D16" s="710">
        <v>0</v>
      </c>
      <c r="E16" s="710">
        <v>0</v>
      </c>
      <c r="F16" s="710">
        <v>0</v>
      </c>
      <c r="G16" s="710">
        <v>0</v>
      </c>
      <c r="H16" s="710">
        <v>0</v>
      </c>
      <c r="I16" s="710">
        <v>0</v>
      </c>
      <c r="J16" s="710">
        <v>0</v>
      </c>
      <c r="K16" s="710">
        <v>0</v>
      </c>
      <c r="L16" s="710">
        <v>0</v>
      </c>
      <c r="M16" s="710">
        <v>0</v>
      </c>
      <c r="N16" s="711">
        <f t="shared" si="6"/>
        <v>0</v>
      </c>
      <c r="O16" s="712">
        <f t="shared" si="7"/>
        <v>0</v>
      </c>
      <c r="P16" s="713">
        <f>O16/O$57</f>
        <v>0</v>
      </c>
    </row>
    <row r="17" spans="1:16" ht="21" x14ac:dyDescent="0.25">
      <c r="A17" s="734" t="s">
        <v>155</v>
      </c>
      <c r="B17" s="710">
        <v>0</v>
      </c>
      <c r="C17" s="710">
        <v>0</v>
      </c>
      <c r="D17" s="710">
        <v>0</v>
      </c>
      <c r="E17" s="710">
        <v>0</v>
      </c>
      <c r="F17" s="710">
        <v>0</v>
      </c>
      <c r="G17" s="710">
        <v>0</v>
      </c>
      <c r="H17" s="710">
        <v>0</v>
      </c>
      <c r="I17" s="710">
        <v>0</v>
      </c>
      <c r="J17" s="710">
        <v>0</v>
      </c>
      <c r="K17" s="710">
        <v>0</v>
      </c>
      <c r="L17" s="710">
        <v>0</v>
      </c>
      <c r="M17" s="710">
        <v>0</v>
      </c>
      <c r="N17" s="711">
        <f t="shared" si="6"/>
        <v>0</v>
      </c>
      <c r="O17" s="712">
        <f t="shared" si="7"/>
        <v>0</v>
      </c>
      <c r="P17" s="713">
        <f t="shared" ref="P17:P18" si="8">O17/O$57</f>
        <v>0</v>
      </c>
    </row>
    <row r="18" spans="1:16" ht="21" x14ac:dyDescent="0.25">
      <c r="A18" s="734" t="s">
        <v>156</v>
      </c>
      <c r="B18" s="710">
        <v>0</v>
      </c>
      <c r="C18" s="710">
        <v>0</v>
      </c>
      <c r="D18" s="710">
        <v>0</v>
      </c>
      <c r="E18" s="710">
        <v>0</v>
      </c>
      <c r="F18" s="710">
        <v>0</v>
      </c>
      <c r="G18" s="710">
        <v>0</v>
      </c>
      <c r="H18" s="710">
        <v>0</v>
      </c>
      <c r="I18" s="710">
        <v>0</v>
      </c>
      <c r="J18" s="710">
        <v>0</v>
      </c>
      <c r="K18" s="710">
        <v>0</v>
      </c>
      <c r="L18" s="710">
        <v>0</v>
      </c>
      <c r="M18" s="710">
        <v>0</v>
      </c>
      <c r="N18" s="711">
        <f t="shared" si="6"/>
        <v>0</v>
      </c>
      <c r="O18" s="712">
        <f t="shared" si="7"/>
        <v>0</v>
      </c>
      <c r="P18" s="713">
        <f t="shared" si="8"/>
        <v>0</v>
      </c>
    </row>
    <row r="19" spans="1:16" ht="24" x14ac:dyDescent="0.3">
      <c r="A19" s="736" t="s">
        <v>157</v>
      </c>
      <c r="B19" s="723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4">
        <f>SUM(N20:N23)</f>
        <v>0</v>
      </c>
      <c r="O19" s="724">
        <f>SUM(O20:O23)</f>
        <v>0</v>
      </c>
      <c r="P19" s="725">
        <f>SUM(P20:P23)</f>
        <v>0</v>
      </c>
    </row>
    <row r="20" spans="1:16" ht="21" x14ac:dyDescent="0.25">
      <c r="A20" s="734" t="s">
        <v>313</v>
      </c>
      <c r="B20" s="710">
        <v>0</v>
      </c>
      <c r="C20" s="710">
        <v>0</v>
      </c>
      <c r="D20" s="710">
        <v>0</v>
      </c>
      <c r="E20" s="710">
        <v>0</v>
      </c>
      <c r="F20" s="710">
        <v>0</v>
      </c>
      <c r="G20" s="710">
        <v>0</v>
      </c>
      <c r="H20" s="710">
        <v>0</v>
      </c>
      <c r="I20" s="710">
        <v>0</v>
      </c>
      <c r="J20" s="710">
        <v>0</v>
      </c>
      <c r="K20" s="710">
        <v>0</v>
      </c>
      <c r="L20" s="710">
        <v>0</v>
      </c>
      <c r="M20" s="710">
        <v>0</v>
      </c>
      <c r="N20" s="711">
        <f>AVERAGE(B20:M20)</f>
        <v>0</v>
      </c>
      <c r="O20" s="712">
        <f>SUM(B20:M20)</f>
        <v>0</v>
      </c>
      <c r="P20" s="713">
        <f>O20/O$57</f>
        <v>0</v>
      </c>
    </row>
    <row r="21" spans="1:16" ht="21" x14ac:dyDescent="0.25">
      <c r="A21" s="734" t="s">
        <v>159</v>
      </c>
      <c r="B21" s="710">
        <v>0</v>
      </c>
      <c r="C21" s="710">
        <v>0</v>
      </c>
      <c r="D21" s="710">
        <v>0</v>
      </c>
      <c r="E21" s="710">
        <v>0</v>
      </c>
      <c r="F21" s="710">
        <v>0</v>
      </c>
      <c r="G21" s="710">
        <v>0</v>
      </c>
      <c r="H21" s="710">
        <v>0</v>
      </c>
      <c r="I21" s="710">
        <v>0</v>
      </c>
      <c r="J21" s="710">
        <v>0</v>
      </c>
      <c r="K21" s="710">
        <v>0</v>
      </c>
      <c r="L21" s="710">
        <v>0</v>
      </c>
      <c r="M21" s="710">
        <v>0</v>
      </c>
      <c r="N21" s="711">
        <f>AVERAGE(B21:M21)</f>
        <v>0</v>
      </c>
      <c r="O21" s="712">
        <f t="shared" ref="O21:O23" si="9">SUM(B21:M21)</f>
        <v>0</v>
      </c>
      <c r="P21" s="713">
        <f>O21/O$57</f>
        <v>0</v>
      </c>
    </row>
    <row r="22" spans="1:16" ht="21" x14ac:dyDescent="0.25">
      <c r="A22" s="734" t="s">
        <v>160</v>
      </c>
      <c r="B22" s="710">
        <v>0</v>
      </c>
      <c r="C22" s="710">
        <v>0</v>
      </c>
      <c r="D22" s="710">
        <v>0</v>
      </c>
      <c r="E22" s="710">
        <v>0</v>
      </c>
      <c r="F22" s="710">
        <v>0</v>
      </c>
      <c r="G22" s="710">
        <v>0</v>
      </c>
      <c r="H22" s="710">
        <v>0</v>
      </c>
      <c r="I22" s="710">
        <v>0</v>
      </c>
      <c r="J22" s="710">
        <v>0</v>
      </c>
      <c r="K22" s="710">
        <v>0</v>
      </c>
      <c r="L22" s="710">
        <v>0</v>
      </c>
      <c r="M22" s="710">
        <v>0</v>
      </c>
      <c r="N22" s="711">
        <f t="shared" ref="N22:N23" si="10">AVERAGE(B22:M22)</f>
        <v>0</v>
      </c>
      <c r="O22" s="712">
        <f t="shared" si="9"/>
        <v>0</v>
      </c>
      <c r="P22" s="713">
        <f>O22/O$57</f>
        <v>0</v>
      </c>
    </row>
    <row r="23" spans="1:16" ht="21" x14ac:dyDescent="0.25">
      <c r="A23" s="734" t="s">
        <v>186</v>
      </c>
      <c r="B23" s="710">
        <v>0</v>
      </c>
      <c r="C23" s="710">
        <v>0</v>
      </c>
      <c r="D23" s="710">
        <v>0</v>
      </c>
      <c r="E23" s="710">
        <v>0</v>
      </c>
      <c r="F23" s="710">
        <v>0</v>
      </c>
      <c r="G23" s="710">
        <v>0</v>
      </c>
      <c r="H23" s="710">
        <v>0</v>
      </c>
      <c r="I23" s="710">
        <v>0</v>
      </c>
      <c r="J23" s="710">
        <v>0</v>
      </c>
      <c r="K23" s="710">
        <v>0</v>
      </c>
      <c r="L23" s="710">
        <v>0</v>
      </c>
      <c r="M23" s="710">
        <v>0</v>
      </c>
      <c r="N23" s="711">
        <f t="shared" si="10"/>
        <v>0</v>
      </c>
      <c r="O23" s="712">
        <f t="shared" si="9"/>
        <v>0</v>
      </c>
      <c r="P23" s="713">
        <f>O23/O$57</f>
        <v>0</v>
      </c>
    </row>
    <row r="24" spans="1:16" ht="24" x14ac:dyDescent="0.3">
      <c r="A24" s="736" t="s">
        <v>161</v>
      </c>
      <c r="B24" s="723"/>
      <c r="C24" s="723"/>
      <c r="D24" s="723"/>
      <c r="E24" s="723"/>
      <c r="F24" s="723"/>
      <c r="G24" s="723"/>
      <c r="H24" s="723"/>
      <c r="I24" s="723"/>
      <c r="J24" s="723"/>
      <c r="K24" s="723"/>
      <c r="L24" s="723"/>
      <c r="M24" s="723"/>
      <c r="N24" s="724">
        <f>SUM(N25:N29)</f>
        <v>0</v>
      </c>
      <c r="O24" s="724">
        <f t="shared" ref="O24:P24" si="11">SUM(O25:O29)</f>
        <v>0</v>
      </c>
      <c r="P24" s="725">
        <f t="shared" si="11"/>
        <v>0</v>
      </c>
    </row>
    <row r="25" spans="1:16" ht="21" x14ac:dyDescent="0.25">
      <c r="A25" s="734" t="s">
        <v>162</v>
      </c>
      <c r="B25" s="710">
        <v>0</v>
      </c>
      <c r="C25" s="710">
        <v>0</v>
      </c>
      <c r="D25" s="710">
        <v>0</v>
      </c>
      <c r="E25" s="710">
        <v>0</v>
      </c>
      <c r="F25" s="710">
        <v>0</v>
      </c>
      <c r="G25" s="710">
        <v>0</v>
      </c>
      <c r="H25" s="710">
        <v>0</v>
      </c>
      <c r="I25" s="710">
        <v>0</v>
      </c>
      <c r="J25" s="710">
        <v>0</v>
      </c>
      <c r="K25" s="710">
        <v>0</v>
      </c>
      <c r="L25" s="710">
        <v>0</v>
      </c>
      <c r="M25" s="710">
        <v>0</v>
      </c>
      <c r="N25" s="711">
        <f>AVERAGE(B25:M25)</f>
        <v>0</v>
      </c>
      <c r="O25" s="712">
        <f>SUM(B25:M25)</f>
        <v>0</v>
      </c>
      <c r="P25" s="713">
        <f>O25/O$57</f>
        <v>0</v>
      </c>
    </row>
    <row r="26" spans="1:16" ht="21" x14ac:dyDescent="0.25">
      <c r="A26" s="734" t="s">
        <v>163</v>
      </c>
      <c r="B26" s="710">
        <v>0</v>
      </c>
      <c r="C26" s="710">
        <v>0</v>
      </c>
      <c r="D26" s="710">
        <v>0</v>
      </c>
      <c r="E26" s="710">
        <v>0</v>
      </c>
      <c r="F26" s="710">
        <v>0</v>
      </c>
      <c r="G26" s="710">
        <v>0</v>
      </c>
      <c r="H26" s="710">
        <v>0</v>
      </c>
      <c r="I26" s="710">
        <v>0</v>
      </c>
      <c r="J26" s="710">
        <v>0</v>
      </c>
      <c r="K26" s="710">
        <v>0</v>
      </c>
      <c r="L26" s="710">
        <v>0</v>
      </c>
      <c r="M26" s="710">
        <v>0</v>
      </c>
      <c r="N26" s="711">
        <f t="shared" ref="N26:N29" si="12">AVERAGE(B26:M26)</f>
        <v>0</v>
      </c>
      <c r="O26" s="712">
        <f t="shared" ref="O26:O29" si="13">SUM(B26:M26)</f>
        <v>0</v>
      </c>
      <c r="P26" s="713">
        <f>O26/O$57</f>
        <v>0</v>
      </c>
    </row>
    <row r="27" spans="1:16" ht="21" x14ac:dyDescent="0.25">
      <c r="A27" s="734" t="s">
        <v>164</v>
      </c>
      <c r="B27" s="710">
        <v>0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1">
        <f t="shared" si="12"/>
        <v>0</v>
      </c>
      <c r="O27" s="712">
        <f t="shared" si="13"/>
        <v>0</v>
      </c>
      <c r="P27" s="713">
        <f>O27/O$57</f>
        <v>0</v>
      </c>
    </row>
    <row r="28" spans="1:16" ht="21" x14ac:dyDescent="0.25">
      <c r="A28" s="734" t="s">
        <v>314</v>
      </c>
      <c r="B28" s="710">
        <v>0</v>
      </c>
      <c r="C28" s="710">
        <v>0</v>
      </c>
      <c r="D28" s="710">
        <v>0</v>
      </c>
      <c r="E28" s="710">
        <v>0</v>
      </c>
      <c r="F28" s="710">
        <v>0</v>
      </c>
      <c r="G28" s="710">
        <v>0</v>
      </c>
      <c r="H28" s="710">
        <v>0</v>
      </c>
      <c r="I28" s="710">
        <v>0</v>
      </c>
      <c r="J28" s="710">
        <v>0</v>
      </c>
      <c r="K28" s="710">
        <v>0</v>
      </c>
      <c r="L28" s="710">
        <v>0</v>
      </c>
      <c r="M28" s="710">
        <v>0</v>
      </c>
      <c r="N28" s="711">
        <f t="shared" si="12"/>
        <v>0</v>
      </c>
      <c r="O28" s="712">
        <f t="shared" si="13"/>
        <v>0</v>
      </c>
      <c r="P28" s="713">
        <f>O28/O$57</f>
        <v>0</v>
      </c>
    </row>
    <row r="29" spans="1:16" ht="21" x14ac:dyDescent="0.25">
      <c r="A29" s="734" t="s">
        <v>186</v>
      </c>
      <c r="B29" s="710">
        <v>0</v>
      </c>
      <c r="C29" s="710">
        <v>0</v>
      </c>
      <c r="D29" s="710">
        <v>0</v>
      </c>
      <c r="E29" s="710">
        <v>0</v>
      </c>
      <c r="F29" s="710">
        <v>0</v>
      </c>
      <c r="G29" s="710">
        <v>0</v>
      </c>
      <c r="H29" s="710">
        <v>0</v>
      </c>
      <c r="I29" s="710">
        <v>0</v>
      </c>
      <c r="J29" s="710">
        <v>0</v>
      </c>
      <c r="K29" s="710">
        <v>0</v>
      </c>
      <c r="L29" s="710">
        <v>0</v>
      </c>
      <c r="M29" s="710">
        <v>0</v>
      </c>
      <c r="N29" s="711">
        <f t="shared" si="12"/>
        <v>0</v>
      </c>
      <c r="O29" s="712">
        <f t="shared" si="13"/>
        <v>0</v>
      </c>
      <c r="P29" s="713">
        <f>O29/O$57</f>
        <v>0</v>
      </c>
    </row>
    <row r="30" spans="1:16" ht="24" x14ac:dyDescent="0.3">
      <c r="A30" s="736" t="s">
        <v>165</v>
      </c>
      <c r="B30" s="723"/>
      <c r="C30" s="723"/>
      <c r="D30" s="723"/>
      <c r="E30" s="723"/>
      <c r="F30" s="723"/>
      <c r="G30" s="723"/>
      <c r="H30" s="723"/>
      <c r="I30" s="723"/>
      <c r="J30" s="723"/>
      <c r="K30" s="723"/>
      <c r="L30" s="723"/>
      <c r="M30" s="723"/>
      <c r="N30" s="724">
        <f>SUM(N31:N37)</f>
        <v>0</v>
      </c>
      <c r="O30" s="724">
        <f>SUM(O31:O37)</f>
        <v>0</v>
      </c>
      <c r="P30" s="725">
        <f>SUM(P31:P37)</f>
        <v>0</v>
      </c>
    </row>
    <row r="31" spans="1:16" ht="21" x14ac:dyDescent="0.25">
      <c r="A31" s="734" t="s">
        <v>166</v>
      </c>
      <c r="B31" s="710">
        <v>0</v>
      </c>
      <c r="C31" s="710">
        <v>0</v>
      </c>
      <c r="D31" s="710">
        <v>0</v>
      </c>
      <c r="E31" s="710">
        <v>0</v>
      </c>
      <c r="F31" s="710">
        <v>0</v>
      </c>
      <c r="G31" s="710">
        <v>0</v>
      </c>
      <c r="H31" s="710">
        <v>0</v>
      </c>
      <c r="I31" s="710">
        <v>0</v>
      </c>
      <c r="J31" s="710">
        <v>0</v>
      </c>
      <c r="K31" s="710">
        <v>0</v>
      </c>
      <c r="L31" s="710">
        <v>0</v>
      </c>
      <c r="M31" s="710">
        <v>0</v>
      </c>
      <c r="N31" s="711">
        <f>AVERAGE(B31:M31)</f>
        <v>0</v>
      </c>
      <c r="O31" s="712">
        <f>SUM(B31:M31)</f>
        <v>0</v>
      </c>
      <c r="P31" s="713">
        <f t="shared" ref="P31:P33" si="14">O31/O$57</f>
        <v>0</v>
      </c>
    </row>
    <row r="32" spans="1:16" ht="21" x14ac:dyDescent="0.25">
      <c r="A32" s="734" t="s">
        <v>167</v>
      </c>
      <c r="B32" s="710">
        <v>0</v>
      </c>
      <c r="C32" s="710">
        <v>0</v>
      </c>
      <c r="D32" s="710">
        <v>0</v>
      </c>
      <c r="E32" s="710">
        <v>0</v>
      </c>
      <c r="F32" s="710">
        <v>0</v>
      </c>
      <c r="G32" s="710">
        <v>0</v>
      </c>
      <c r="H32" s="710">
        <v>0</v>
      </c>
      <c r="I32" s="710">
        <v>0</v>
      </c>
      <c r="J32" s="710">
        <v>0</v>
      </c>
      <c r="K32" s="710">
        <v>0</v>
      </c>
      <c r="L32" s="710">
        <v>0</v>
      </c>
      <c r="M32" s="710">
        <v>0</v>
      </c>
      <c r="N32" s="711">
        <f t="shared" ref="N32:N37" si="15">AVERAGE(B32:M32)</f>
        <v>0</v>
      </c>
      <c r="O32" s="712">
        <f t="shared" ref="O32:O37" si="16">SUM(B32:M32)</f>
        <v>0</v>
      </c>
      <c r="P32" s="713">
        <f t="shared" si="14"/>
        <v>0</v>
      </c>
    </row>
    <row r="33" spans="1:16" ht="21" x14ac:dyDescent="0.25">
      <c r="A33" s="734" t="s">
        <v>168</v>
      </c>
      <c r="B33" s="710">
        <v>0</v>
      </c>
      <c r="C33" s="710">
        <v>0</v>
      </c>
      <c r="D33" s="710">
        <v>0</v>
      </c>
      <c r="E33" s="710">
        <v>0</v>
      </c>
      <c r="F33" s="710">
        <v>0</v>
      </c>
      <c r="G33" s="710">
        <v>0</v>
      </c>
      <c r="H33" s="710">
        <v>0</v>
      </c>
      <c r="I33" s="710">
        <v>0</v>
      </c>
      <c r="J33" s="710">
        <v>0</v>
      </c>
      <c r="K33" s="710">
        <v>0</v>
      </c>
      <c r="L33" s="710">
        <v>0</v>
      </c>
      <c r="M33" s="710">
        <v>0</v>
      </c>
      <c r="N33" s="711">
        <f t="shared" si="15"/>
        <v>0</v>
      </c>
      <c r="O33" s="712">
        <f t="shared" si="16"/>
        <v>0</v>
      </c>
      <c r="P33" s="713">
        <f t="shared" si="14"/>
        <v>0</v>
      </c>
    </row>
    <row r="34" spans="1:16" ht="21" x14ac:dyDescent="0.25">
      <c r="A34" s="734" t="s">
        <v>315</v>
      </c>
      <c r="B34" s="710">
        <v>0</v>
      </c>
      <c r="C34" s="710">
        <v>0</v>
      </c>
      <c r="D34" s="710">
        <v>0</v>
      </c>
      <c r="E34" s="710">
        <v>0</v>
      </c>
      <c r="F34" s="710">
        <v>0</v>
      </c>
      <c r="G34" s="710">
        <v>0</v>
      </c>
      <c r="H34" s="710">
        <v>0</v>
      </c>
      <c r="I34" s="710">
        <v>0</v>
      </c>
      <c r="J34" s="710">
        <v>0</v>
      </c>
      <c r="K34" s="710">
        <v>0</v>
      </c>
      <c r="L34" s="710">
        <v>0</v>
      </c>
      <c r="M34" s="710">
        <v>0</v>
      </c>
      <c r="N34" s="711">
        <f t="shared" si="15"/>
        <v>0</v>
      </c>
      <c r="O34" s="712">
        <f t="shared" si="16"/>
        <v>0</v>
      </c>
      <c r="P34" s="713">
        <f>O34/O$57</f>
        <v>0</v>
      </c>
    </row>
    <row r="35" spans="1:16" ht="21" x14ac:dyDescent="0.25">
      <c r="A35" s="734" t="s">
        <v>169</v>
      </c>
      <c r="B35" s="710">
        <v>0</v>
      </c>
      <c r="C35" s="710">
        <v>0</v>
      </c>
      <c r="D35" s="710">
        <v>0</v>
      </c>
      <c r="E35" s="710">
        <v>0</v>
      </c>
      <c r="F35" s="710">
        <v>0</v>
      </c>
      <c r="G35" s="710">
        <v>0</v>
      </c>
      <c r="H35" s="710">
        <v>0</v>
      </c>
      <c r="I35" s="710">
        <v>0</v>
      </c>
      <c r="J35" s="710">
        <v>0</v>
      </c>
      <c r="K35" s="710">
        <v>0</v>
      </c>
      <c r="L35" s="710">
        <v>0</v>
      </c>
      <c r="M35" s="710">
        <v>0</v>
      </c>
      <c r="N35" s="711">
        <f t="shared" si="15"/>
        <v>0</v>
      </c>
      <c r="O35" s="712">
        <f t="shared" si="16"/>
        <v>0</v>
      </c>
      <c r="P35" s="713">
        <f t="shared" ref="P35:P37" si="17">O35/O$57</f>
        <v>0</v>
      </c>
    </row>
    <row r="36" spans="1:16" ht="21" x14ac:dyDescent="0.25">
      <c r="A36" s="734" t="s">
        <v>316</v>
      </c>
      <c r="B36" s="710">
        <v>0</v>
      </c>
      <c r="C36" s="710">
        <v>0</v>
      </c>
      <c r="D36" s="710">
        <v>0</v>
      </c>
      <c r="E36" s="710">
        <v>0</v>
      </c>
      <c r="F36" s="710">
        <v>0</v>
      </c>
      <c r="G36" s="710">
        <v>0</v>
      </c>
      <c r="H36" s="710">
        <v>0</v>
      </c>
      <c r="I36" s="710">
        <v>0</v>
      </c>
      <c r="J36" s="710">
        <v>0</v>
      </c>
      <c r="K36" s="710">
        <v>0</v>
      </c>
      <c r="L36" s="710">
        <v>0</v>
      </c>
      <c r="M36" s="710">
        <v>0</v>
      </c>
      <c r="N36" s="711">
        <f t="shared" si="15"/>
        <v>0</v>
      </c>
      <c r="O36" s="712">
        <f t="shared" si="16"/>
        <v>0</v>
      </c>
      <c r="P36" s="713">
        <f t="shared" si="17"/>
        <v>0</v>
      </c>
    </row>
    <row r="37" spans="1:16" ht="21" x14ac:dyDescent="0.25">
      <c r="A37" s="734" t="s">
        <v>186</v>
      </c>
      <c r="B37" s="710">
        <v>0</v>
      </c>
      <c r="C37" s="710">
        <v>0</v>
      </c>
      <c r="D37" s="710">
        <v>0</v>
      </c>
      <c r="E37" s="710">
        <v>0</v>
      </c>
      <c r="F37" s="710">
        <v>0</v>
      </c>
      <c r="G37" s="710">
        <v>0</v>
      </c>
      <c r="H37" s="710">
        <v>0</v>
      </c>
      <c r="I37" s="710">
        <v>0</v>
      </c>
      <c r="J37" s="710">
        <v>0</v>
      </c>
      <c r="K37" s="710">
        <v>0</v>
      </c>
      <c r="L37" s="710">
        <v>0</v>
      </c>
      <c r="M37" s="710">
        <v>0</v>
      </c>
      <c r="N37" s="711">
        <f t="shared" si="15"/>
        <v>0</v>
      </c>
      <c r="O37" s="712">
        <f t="shared" si="16"/>
        <v>0</v>
      </c>
      <c r="P37" s="713">
        <f t="shared" si="17"/>
        <v>0</v>
      </c>
    </row>
    <row r="38" spans="1:16" ht="24" x14ac:dyDescent="0.3">
      <c r="A38" s="736" t="s">
        <v>170</v>
      </c>
      <c r="B38" s="723"/>
      <c r="C38" s="723"/>
      <c r="D38" s="723"/>
      <c r="E38" s="723"/>
      <c r="F38" s="723"/>
      <c r="G38" s="723"/>
      <c r="H38" s="723"/>
      <c r="I38" s="723"/>
      <c r="J38" s="723"/>
      <c r="K38" s="723"/>
      <c r="L38" s="723"/>
      <c r="M38" s="723"/>
      <c r="N38" s="724">
        <f>SUM(N39:N48)</f>
        <v>0</v>
      </c>
      <c r="O38" s="724">
        <f>SUM(O39:O48)</f>
        <v>0</v>
      </c>
      <c r="P38" s="725">
        <f>SUM(P39:P48)</f>
        <v>0</v>
      </c>
    </row>
    <row r="39" spans="1:16" ht="21" x14ac:dyDescent="0.25">
      <c r="A39" s="734" t="s">
        <v>317</v>
      </c>
      <c r="B39" s="710">
        <v>0</v>
      </c>
      <c r="C39" s="710">
        <v>0</v>
      </c>
      <c r="D39" s="710">
        <v>0</v>
      </c>
      <c r="E39" s="710">
        <v>0</v>
      </c>
      <c r="F39" s="710">
        <v>0</v>
      </c>
      <c r="G39" s="710">
        <v>0</v>
      </c>
      <c r="H39" s="710">
        <v>0</v>
      </c>
      <c r="I39" s="710">
        <v>0</v>
      </c>
      <c r="J39" s="710">
        <v>0</v>
      </c>
      <c r="K39" s="710">
        <v>0</v>
      </c>
      <c r="L39" s="710">
        <v>0</v>
      </c>
      <c r="M39" s="710">
        <v>0</v>
      </c>
      <c r="N39" s="711">
        <f>AVERAGE(B39:M39)</f>
        <v>0</v>
      </c>
      <c r="O39" s="712">
        <f>SUM(B39:M39)</f>
        <v>0</v>
      </c>
      <c r="P39" s="713">
        <f t="shared" ref="P39:P48" si="18">O39/O$57</f>
        <v>0</v>
      </c>
    </row>
    <row r="40" spans="1:16" ht="21" x14ac:dyDescent="0.25">
      <c r="A40" s="734" t="s">
        <v>171</v>
      </c>
      <c r="B40" s="710">
        <v>0</v>
      </c>
      <c r="C40" s="710">
        <v>0</v>
      </c>
      <c r="D40" s="710">
        <v>0</v>
      </c>
      <c r="E40" s="710">
        <v>0</v>
      </c>
      <c r="F40" s="710">
        <v>0</v>
      </c>
      <c r="G40" s="710">
        <v>0</v>
      </c>
      <c r="H40" s="710">
        <v>0</v>
      </c>
      <c r="I40" s="710">
        <v>0</v>
      </c>
      <c r="J40" s="710">
        <v>0</v>
      </c>
      <c r="K40" s="710">
        <v>0</v>
      </c>
      <c r="L40" s="710">
        <v>0</v>
      </c>
      <c r="M40" s="710">
        <v>0</v>
      </c>
      <c r="N40" s="711">
        <f t="shared" ref="N40:N48" si="19">AVERAGE(B40:M40)</f>
        <v>0</v>
      </c>
      <c r="O40" s="712">
        <f t="shared" ref="O40:O48" si="20">SUM(B40:M40)</f>
        <v>0</v>
      </c>
      <c r="P40" s="713">
        <f t="shared" si="18"/>
        <v>0</v>
      </c>
    </row>
    <row r="41" spans="1:16" ht="21" x14ac:dyDescent="0.25">
      <c r="A41" s="734" t="s">
        <v>172</v>
      </c>
      <c r="B41" s="710">
        <v>0</v>
      </c>
      <c r="C41" s="710">
        <v>0</v>
      </c>
      <c r="D41" s="710">
        <v>0</v>
      </c>
      <c r="E41" s="710">
        <v>0</v>
      </c>
      <c r="F41" s="710">
        <v>0</v>
      </c>
      <c r="G41" s="710">
        <v>0</v>
      </c>
      <c r="H41" s="710">
        <v>0</v>
      </c>
      <c r="I41" s="710">
        <v>0</v>
      </c>
      <c r="J41" s="710">
        <v>0</v>
      </c>
      <c r="K41" s="710">
        <v>0</v>
      </c>
      <c r="L41" s="710">
        <v>0</v>
      </c>
      <c r="M41" s="710">
        <v>0</v>
      </c>
      <c r="N41" s="711">
        <f t="shared" si="19"/>
        <v>0</v>
      </c>
      <c r="O41" s="712">
        <f t="shared" si="20"/>
        <v>0</v>
      </c>
      <c r="P41" s="713">
        <f t="shared" si="18"/>
        <v>0</v>
      </c>
    </row>
    <row r="42" spans="1:16" ht="21" x14ac:dyDescent="0.25">
      <c r="A42" s="734" t="s">
        <v>188</v>
      </c>
      <c r="B42" s="710">
        <v>0</v>
      </c>
      <c r="C42" s="710">
        <v>0</v>
      </c>
      <c r="D42" s="710">
        <v>0</v>
      </c>
      <c r="E42" s="710">
        <v>0</v>
      </c>
      <c r="F42" s="710">
        <v>0</v>
      </c>
      <c r="G42" s="710">
        <v>0</v>
      </c>
      <c r="H42" s="710">
        <v>0</v>
      </c>
      <c r="I42" s="710">
        <v>0</v>
      </c>
      <c r="J42" s="710">
        <v>0</v>
      </c>
      <c r="K42" s="710">
        <v>0</v>
      </c>
      <c r="L42" s="710">
        <v>0</v>
      </c>
      <c r="M42" s="710">
        <v>0</v>
      </c>
      <c r="N42" s="711">
        <f t="shared" si="19"/>
        <v>0</v>
      </c>
      <c r="O42" s="712">
        <f t="shared" si="20"/>
        <v>0</v>
      </c>
      <c r="P42" s="713">
        <f t="shared" si="18"/>
        <v>0</v>
      </c>
    </row>
    <row r="43" spans="1:16" ht="21" x14ac:dyDescent="0.25">
      <c r="A43" s="734" t="s">
        <v>174</v>
      </c>
      <c r="B43" s="710">
        <v>0</v>
      </c>
      <c r="C43" s="710">
        <v>0</v>
      </c>
      <c r="D43" s="710">
        <v>0</v>
      </c>
      <c r="E43" s="710">
        <v>0</v>
      </c>
      <c r="F43" s="710">
        <v>0</v>
      </c>
      <c r="G43" s="710">
        <v>0</v>
      </c>
      <c r="H43" s="710">
        <v>0</v>
      </c>
      <c r="I43" s="710">
        <v>0</v>
      </c>
      <c r="J43" s="710">
        <v>0</v>
      </c>
      <c r="K43" s="710">
        <v>0</v>
      </c>
      <c r="L43" s="710">
        <v>0</v>
      </c>
      <c r="M43" s="710">
        <v>0</v>
      </c>
      <c r="N43" s="711">
        <f t="shared" si="19"/>
        <v>0</v>
      </c>
      <c r="O43" s="712">
        <f t="shared" si="20"/>
        <v>0</v>
      </c>
      <c r="P43" s="713">
        <f t="shared" si="18"/>
        <v>0</v>
      </c>
    </row>
    <row r="44" spans="1:16" ht="21" x14ac:dyDescent="0.25">
      <c r="A44" s="734" t="s">
        <v>175</v>
      </c>
      <c r="B44" s="710">
        <v>0</v>
      </c>
      <c r="C44" s="710">
        <v>0</v>
      </c>
      <c r="D44" s="710">
        <v>0</v>
      </c>
      <c r="E44" s="710">
        <v>0</v>
      </c>
      <c r="F44" s="710">
        <v>0</v>
      </c>
      <c r="G44" s="710">
        <v>0</v>
      </c>
      <c r="H44" s="710">
        <v>0</v>
      </c>
      <c r="I44" s="710">
        <v>0</v>
      </c>
      <c r="J44" s="710">
        <v>0</v>
      </c>
      <c r="K44" s="710">
        <v>0</v>
      </c>
      <c r="L44" s="710">
        <v>0</v>
      </c>
      <c r="M44" s="710">
        <v>0</v>
      </c>
      <c r="N44" s="711">
        <f t="shared" si="19"/>
        <v>0</v>
      </c>
      <c r="O44" s="712">
        <f t="shared" si="20"/>
        <v>0</v>
      </c>
      <c r="P44" s="713">
        <f t="shared" si="18"/>
        <v>0</v>
      </c>
    </row>
    <row r="45" spans="1:16" ht="21" x14ac:dyDescent="0.25">
      <c r="A45" s="734" t="s">
        <v>176</v>
      </c>
      <c r="B45" s="710">
        <v>0</v>
      </c>
      <c r="C45" s="710">
        <v>0</v>
      </c>
      <c r="D45" s="710">
        <v>0</v>
      </c>
      <c r="E45" s="710">
        <v>0</v>
      </c>
      <c r="F45" s="710">
        <v>0</v>
      </c>
      <c r="G45" s="710">
        <v>0</v>
      </c>
      <c r="H45" s="710">
        <v>0</v>
      </c>
      <c r="I45" s="710">
        <v>0</v>
      </c>
      <c r="J45" s="710">
        <v>0</v>
      </c>
      <c r="K45" s="710">
        <v>0</v>
      </c>
      <c r="L45" s="710">
        <v>0</v>
      </c>
      <c r="M45" s="710">
        <v>0</v>
      </c>
      <c r="N45" s="711">
        <f t="shared" si="19"/>
        <v>0</v>
      </c>
      <c r="O45" s="712">
        <f t="shared" si="20"/>
        <v>0</v>
      </c>
      <c r="P45" s="713">
        <f t="shared" si="18"/>
        <v>0</v>
      </c>
    </row>
    <row r="46" spans="1:16" ht="21" x14ac:dyDescent="0.25">
      <c r="A46" s="734" t="s">
        <v>318</v>
      </c>
      <c r="B46" s="710">
        <v>0</v>
      </c>
      <c r="C46" s="710">
        <v>0</v>
      </c>
      <c r="D46" s="710">
        <v>0</v>
      </c>
      <c r="E46" s="710">
        <v>0</v>
      </c>
      <c r="F46" s="710">
        <v>0</v>
      </c>
      <c r="G46" s="710">
        <v>0</v>
      </c>
      <c r="H46" s="710">
        <v>0</v>
      </c>
      <c r="I46" s="710">
        <v>0</v>
      </c>
      <c r="J46" s="710">
        <v>0</v>
      </c>
      <c r="K46" s="710">
        <v>0</v>
      </c>
      <c r="L46" s="710">
        <v>0</v>
      </c>
      <c r="M46" s="710">
        <v>0</v>
      </c>
      <c r="N46" s="711">
        <f t="shared" si="19"/>
        <v>0</v>
      </c>
      <c r="O46" s="712">
        <f t="shared" si="20"/>
        <v>0</v>
      </c>
      <c r="P46" s="713">
        <f t="shared" si="18"/>
        <v>0</v>
      </c>
    </row>
    <row r="47" spans="1:16" ht="21" x14ac:dyDescent="0.25">
      <c r="A47" s="734" t="s">
        <v>319</v>
      </c>
      <c r="B47" s="710">
        <v>0</v>
      </c>
      <c r="C47" s="710">
        <v>0</v>
      </c>
      <c r="D47" s="710">
        <v>0</v>
      </c>
      <c r="E47" s="710">
        <v>0</v>
      </c>
      <c r="F47" s="710">
        <v>0</v>
      </c>
      <c r="G47" s="710">
        <v>0</v>
      </c>
      <c r="H47" s="710">
        <v>0</v>
      </c>
      <c r="I47" s="710">
        <v>0</v>
      </c>
      <c r="J47" s="710">
        <v>0</v>
      </c>
      <c r="K47" s="710">
        <v>0</v>
      </c>
      <c r="L47" s="710">
        <v>0</v>
      </c>
      <c r="M47" s="710">
        <v>0</v>
      </c>
      <c r="N47" s="711">
        <f t="shared" si="19"/>
        <v>0</v>
      </c>
      <c r="O47" s="712">
        <f t="shared" si="20"/>
        <v>0</v>
      </c>
      <c r="P47" s="713">
        <f t="shared" si="18"/>
        <v>0</v>
      </c>
    </row>
    <row r="48" spans="1:16" ht="21" x14ac:dyDescent="0.25">
      <c r="A48" s="734" t="s">
        <v>186</v>
      </c>
      <c r="B48" s="710">
        <v>0</v>
      </c>
      <c r="C48" s="710">
        <v>0</v>
      </c>
      <c r="D48" s="710">
        <v>0</v>
      </c>
      <c r="E48" s="710">
        <v>0</v>
      </c>
      <c r="F48" s="710">
        <v>0</v>
      </c>
      <c r="G48" s="710">
        <v>0</v>
      </c>
      <c r="H48" s="710">
        <v>0</v>
      </c>
      <c r="I48" s="710">
        <v>0</v>
      </c>
      <c r="J48" s="710">
        <v>0</v>
      </c>
      <c r="K48" s="710">
        <v>0</v>
      </c>
      <c r="L48" s="710">
        <v>0</v>
      </c>
      <c r="M48" s="710">
        <v>0</v>
      </c>
      <c r="N48" s="711">
        <f t="shared" si="19"/>
        <v>0</v>
      </c>
      <c r="O48" s="712">
        <f t="shared" si="20"/>
        <v>0</v>
      </c>
      <c r="P48" s="713">
        <f t="shared" si="18"/>
        <v>0</v>
      </c>
    </row>
    <row r="49" spans="1:16" ht="24" x14ac:dyDescent="0.3">
      <c r="A49" s="736" t="s">
        <v>177</v>
      </c>
      <c r="B49" s="723"/>
      <c r="C49" s="723"/>
      <c r="D49" s="723"/>
      <c r="E49" s="723"/>
      <c r="F49" s="723"/>
      <c r="G49" s="723"/>
      <c r="H49" s="723"/>
      <c r="I49" s="723"/>
      <c r="J49" s="723"/>
      <c r="K49" s="723"/>
      <c r="L49" s="723"/>
      <c r="M49" s="723"/>
      <c r="N49" s="724">
        <f>SUM(N50:N52)</f>
        <v>0</v>
      </c>
      <c r="O49" s="724">
        <f>SUM(O50:O52)</f>
        <v>0</v>
      </c>
      <c r="P49" s="725">
        <f>SUM(P50:P52)</f>
        <v>0</v>
      </c>
    </row>
    <row r="50" spans="1:16" ht="21" x14ac:dyDescent="0.25">
      <c r="A50" s="734" t="s">
        <v>178</v>
      </c>
      <c r="B50" s="710">
        <v>0</v>
      </c>
      <c r="C50" s="710">
        <v>0</v>
      </c>
      <c r="D50" s="710">
        <v>0</v>
      </c>
      <c r="E50" s="710">
        <v>0</v>
      </c>
      <c r="F50" s="710">
        <v>0</v>
      </c>
      <c r="G50" s="710">
        <v>0</v>
      </c>
      <c r="H50" s="710">
        <v>0</v>
      </c>
      <c r="I50" s="710">
        <v>0</v>
      </c>
      <c r="J50" s="710">
        <v>0</v>
      </c>
      <c r="K50" s="710">
        <v>0</v>
      </c>
      <c r="L50" s="710">
        <v>0</v>
      </c>
      <c r="M50" s="710">
        <v>0</v>
      </c>
      <c r="N50" s="711">
        <f>AVERAGE(B50:M50)</f>
        <v>0</v>
      </c>
      <c r="O50" s="712">
        <f>SUM(B50:M50)</f>
        <v>0</v>
      </c>
      <c r="P50" s="713">
        <f t="shared" ref="P50:P52" si="21">O50/O$57</f>
        <v>0</v>
      </c>
    </row>
    <row r="51" spans="1:16" ht="21" x14ac:dyDescent="0.25">
      <c r="A51" s="734" t="s">
        <v>320</v>
      </c>
      <c r="B51" s="710">
        <v>0</v>
      </c>
      <c r="C51" s="710">
        <v>0</v>
      </c>
      <c r="D51" s="710">
        <v>0</v>
      </c>
      <c r="E51" s="710">
        <v>0</v>
      </c>
      <c r="F51" s="710">
        <v>0</v>
      </c>
      <c r="G51" s="710">
        <v>0</v>
      </c>
      <c r="H51" s="710">
        <v>0</v>
      </c>
      <c r="I51" s="710">
        <v>0</v>
      </c>
      <c r="J51" s="710">
        <v>0</v>
      </c>
      <c r="K51" s="710">
        <v>0</v>
      </c>
      <c r="L51" s="710">
        <v>0</v>
      </c>
      <c r="M51" s="710">
        <v>0</v>
      </c>
      <c r="N51" s="711">
        <f t="shared" ref="N51:N52" si="22">AVERAGE(B51:M51)</f>
        <v>0</v>
      </c>
      <c r="O51" s="712">
        <f t="shared" ref="O51:O52" si="23">SUM(B51:M51)</f>
        <v>0</v>
      </c>
      <c r="P51" s="713">
        <f t="shared" si="21"/>
        <v>0</v>
      </c>
    </row>
    <row r="52" spans="1:16" ht="21" x14ac:dyDescent="0.25">
      <c r="A52" s="734" t="s">
        <v>186</v>
      </c>
      <c r="B52" s="710">
        <v>0</v>
      </c>
      <c r="C52" s="710">
        <v>0</v>
      </c>
      <c r="D52" s="710">
        <v>0</v>
      </c>
      <c r="E52" s="710">
        <v>0</v>
      </c>
      <c r="F52" s="710">
        <v>0</v>
      </c>
      <c r="G52" s="710">
        <v>0</v>
      </c>
      <c r="H52" s="710">
        <v>0</v>
      </c>
      <c r="I52" s="710">
        <v>0</v>
      </c>
      <c r="J52" s="710">
        <v>0</v>
      </c>
      <c r="K52" s="710">
        <v>0</v>
      </c>
      <c r="L52" s="710">
        <v>0</v>
      </c>
      <c r="M52" s="710">
        <v>0</v>
      </c>
      <c r="N52" s="711">
        <f t="shared" si="22"/>
        <v>0</v>
      </c>
      <c r="O52" s="712">
        <f t="shared" si="23"/>
        <v>0</v>
      </c>
      <c r="P52" s="713">
        <f t="shared" si="21"/>
        <v>0</v>
      </c>
    </row>
    <row r="53" spans="1:16" ht="24" x14ac:dyDescent="0.3">
      <c r="A53" s="736" t="s">
        <v>179</v>
      </c>
      <c r="B53" s="723"/>
      <c r="C53" s="723"/>
      <c r="D53" s="723"/>
      <c r="E53" s="723"/>
      <c r="F53" s="723"/>
      <c r="G53" s="723"/>
      <c r="H53" s="723"/>
      <c r="I53" s="723"/>
      <c r="J53" s="723"/>
      <c r="K53" s="723"/>
      <c r="L53" s="723"/>
      <c r="M53" s="723"/>
      <c r="N53" s="724">
        <f>SUM(N54:N56)</f>
        <v>0</v>
      </c>
      <c r="O53" s="724">
        <f>SUM(O54:O56)</f>
        <v>0</v>
      </c>
      <c r="P53" s="725">
        <f>SUM(P54:P56)</f>
        <v>0</v>
      </c>
    </row>
    <row r="54" spans="1:16" ht="21" x14ac:dyDescent="0.25">
      <c r="A54" s="734" t="s">
        <v>181</v>
      </c>
      <c r="B54" s="710">
        <v>0</v>
      </c>
      <c r="C54" s="710">
        <v>0</v>
      </c>
      <c r="D54" s="710">
        <v>0</v>
      </c>
      <c r="E54" s="710">
        <v>0</v>
      </c>
      <c r="F54" s="710">
        <v>0</v>
      </c>
      <c r="G54" s="710">
        <v>0</v>
      </c>
      <c r="H54" s="710">
        <v>0</v>
      </c>
      <c r="I54" s="710">
        <v>0</v>
      </c>
      <c r="J54" s="710">
        <v>0</v>
      </c>
      <c r="K54" s="710">
        <v>0</v>
      </c>
      <c r="L54" s="710">
        <v>0</v>
      </c>
      <c r="M54" s="710">
        <v>0</v>
      </c>
      <c r="N54" s="711">
        <f>AVERAGE(B54:M54)</f>
        <v>0</v>
      </c>
      <c r="O54" s="712">
        <f>SUM(B54:M54)</f>
        <v>0</v>
      </c>
      <c r="P54" s="713">
        <f t="shared" ref="P54:P56" si="24">O54/O$57</f>
        <v>0</v>
      </c>
    </row>
    <row r="55" spans="1:16" ht="21" x14ac:dyDescent="0.25">
      <c r="A55" s="734" t="s">
        <v>321</v>
      </c>
      <c r="B55" s="710">
        <v>0</v>
      </c>
      <c r="C55" s="710">
        <v>0</v>
      </c>
      <c r="D55" s="710">
        <v>0</v>
      </c>
      <c r="E55" s="710">
        <v>0</v>
      </c>
      <c r="F55" s="710">
        <v>0</v>
      </c>
      <c r="G55" s="710">
        <v>0</v>
      </c>
      <c r="H55" s="710">
        <v>0</v>
      </c>
      <c r="I55" s="710">
        <v>0</v>
      </c>
      <c r="J55" s="710">
        <v>0</v>
      </c>
      <c r="K55" s="710">
        <v>0</v>
      </c>
      <c r="L55" s="710">
        <v>0</v>
      </c>
      <c r="M55" s="710">
        <v>0</v>
      </c>
      <c r="N55" s="711">
        <f t="shared" ref="N55:N56" si="25">AVERAGE(B55:M55)</f>
        <v>0</v>
      </c>
      <c r="O55" s="712">
        <f t="shared" ref="O55:O56" si="26">SUM(B55:M55)</f>
        <v>0</v>
      </c>
      <c r="P55" s="713">
        <f t="shared" si="24"/>
        <v>0</v>
      </c>
    </row>
    <row r="56" spans="1:16" ht="21" x14ac:dyDescent="0.25">
      <c r="A56" s="734" t="s">
        <v>186</v>
      </c>
      <c r="B56" s="710">
        <v>0</v>
      </c>
      <c r="C56" s="710">
        <v>0</v>
      </c>
      <c r="D56" s="710">
        <v>0</v>
      </c>
      <c r="E56" s="710">
        <v>0</v>
      </c>
      <c r="F56" s="710">
        <v>0</v>
      </c>
      <c r="G56" s="710">
        <v>0</v>
      </c>
      <c r="H56" s="710">
        <v>0</v>
      </c>
      <c r="I56" s="710">
        <v>0</v>
      </c>
      <c r="J56" s="710">
        <v>0</v>
      </c>
      <c r="K56" s="710">
        <v>0</v>
      </c>
      <c r="L56" s="710">
        <v>0</v>
      </c>
      <c r="M56" s="710">
        <v>0</v>
      </c>
      <c r="N56" s="711">
        <f t="shared" si="25"/>
        <v>0</v>
      </c>
      <c r="O56" s="712">
        <f t="shared" si="26"/>
        <v>0</v>
      </c>
      <c r="P56" s="713">
        <f t="shared" si="24"/>
        <v>0</v>
      </c>
    </row>
    <row r="57" spans="1:16" ht="21" x14ac:dyDescent="0.25">
      <c r="A57" s="735" t="s">
        <v>195</v>
      </c>
      <c r="B57" s="714">
        <f t="shared" ref="B57:M57" si="27">SUM(B14:B56)</f>
        <v>400</v>
      </c>
      <c r="C57" s="714">
        <f t="shared" si="27"/>
        <v>0</v>
      </c>
      <c r="D57" s="714">
        <f t="shared" si="27"/>
        <v>0</v>
      </c>
      <c r="E57" s="714">
        <f t="shared" si="27"/>
        <v>0</v>
      </c>
      <c r="F57" s="714">
        <f t="shared" si="27"/>
        <v>0</v>
      </c>
      <c r="G57" s="714">
        <f t="shared" si="27"/>
        <v>0</v>
      </c>
      <c r="H57" s="714">
        <f t="shared" si="27"/>
        <v>0</v>
      </c>
      <c r="I57" s="714">
        <f t="shared" si="27"/>
        <v>0</v>
      </c>
      <c r="J57" s="714">
        <f t="shared" si="27"/>
        <v>0</v>
      </c>
      <c r="K57" s="714">
        <f t="shared" si="27"/>
        <v>0</v>
      </c>
      <c r="L57" s="714">
        <f t="shared" si="27"/>
        <v>0</v>
      </c>
      <c r="M57" s="714">
        <f t="shared" si="27"/>
        <v>0</v>
      </c>
      <c r="N57" s="715">
        <f>AVERAGE(B57:M57)</f>
        <v>33.333333333333336</v>
      </c>
      <c r="O57" s="715">
        <f>SUM(B57:M57)</f>
        <v>400</v>
      </c>
      <c r="P57" s="716"/>
    </row>
    <row r="58" spans="1:16" ht="21" x14ac:dyDescent="0.25">
      <c r="A58" s="720"/>
      <c r="B58" s="717"/>
      <c r="C58" s="717"/>
      <c r="D58" s="717"/>
      <c r="E58" s="717"/>
      <c r="F58" s="717"/>
      <c r="G58" s="717"/>
      <c r="H58" s="717"/>
      <c r="I58" s="717"/>
      <c r="J58" s="717"/>
      <c r="K58" s="717"/>
      <c r="L58" s="717"/>
      <c r="M58" s="717"/>
      <c r="N58" s="719"/>
      <c r="O58" s="719"/>
      <c r="P58" s="720"/>
    </row>
    <row r="59" spans="1:16" ht="21" x14ac:dyDescent="0.25">
      <c r="A59" s="737" t="s">
        <v>196</v>
      </c>
      <c r="B59" s="726">
        <f t="shared" ref="B59:M59" si="28">B10-B57</f>
        <v>2100</v>
      </c>
      <c r="C59" s="726">
        <f t="shared" si="28"/>
        <v>0</v>
      </c>
      <c r="D59" s="726">
        <f t="shared" si="28"/>
        <v>0</v>
      </c>
      <c r="E59" s="726">
        <f t="shared" si="28"/>
        <v>0</v>
      </c>
      <c r="F59" s="726">
        <f t="shared" si="28"/>
        <v>0</v>
      </c>
      <c r="G59" s="726">
        <f t="shared" si="28"/>
        <v>0</v>
      </c>
      <c r="H59" s="726">
        <f t="shared" si="28"/>
        <v>0</v>
      </c>
      <c r="I59" s="726">
        <f t="shared" si="28"/>
        <v>0</v>
      </c>
      <c r="J59" s="726">
        <f t="shared" si="28"/>
        <v>0</v>
      </c>
      <c r="K59" s="726">
        <f t="shared" si="28"/>
        <v>0</v>
      </c>
      <c r="L59" s="726">
        <f t="shared" si="28"/>
        <v>0</v>
      </c>
      <c r="M59" s="726">
        <f t="shared" si="28"/>
        <v>0</v>
      </c>
      <c r="N59" s="727">
        <f>AVERAGE(B59:M59)</f>
        <v>175</v>
      </c>
      <c r="O59" s="728">
        <f>+O10-O57</f>
        <v>2100</v>
      </c>
      <c r="P59" s="729"/>
    </row>
    <row r="60" spans="1:16" ht="21" x14ac:dyDescent="0.25">
      <c r="A60" s="731" t="s">
        <v>322</v>
      </c>
      <c r="B60" s="730">
        <f t="shared" ref="B60:M60" si="29">IF(B59&lt;0,B59,0)</f>
        <v>0</v>
      </c>
      <c r="C60" s="730">
        <f t="shared" si="29"/>
        <v>0</v>
      </c>
      <c r="D60" s="730">
        <f t="shared" si="29"/>
        <v>0</v>
      </c>
      <c r="E60" s="730">
        <f t="shared" si="29"/>
        <v>0</v>
      </c>
      <c r="F60" s="730">
        <f t="shared" si="29"/>
        <v>0</v>
      </c>
      <c r="G60" s="730">
        <f t="shared" si="29"/>
        <v>0</v>
      </c>
      <c r="H60" s="730">
        <f t="shared" si="29"/>
        <v>0</v>
      </c>
      <c r="I60" s="730">
        <f t="shared" si="29"/>
        <v>0</v>
      </c>
      <c r="J60" s="730">
        <f t="shared" si="29"/>
        <v>0</v>
      </c>
      <c r="K60" s="730">
        <f t="shared" si="29"/>
        <v>0</v>
      </c>
      <c r="L60" s="730">
        <f t="shared" si="29"/>
        <v>0</v>
      </c>
      <c r="M60" s="730">
        <f t="shared" si="29"/>
        <v>0</v>
      </c>
      <c r="N60" s="731"/>
      <c r="O60" s="731"/>
      <c r="P60" s="731"/>
    </row>
    <row r="61" spans="1:16" ht="21" x14ac:dyDescent="0.25">
      <c r="A61" s="731" t="s">
        <v>323</v>
      </c>
      <c r="B61" s="730">
        <f t="shared" ref="B61:M61" si="30">IF(B59&gt;0,B59,0)</f>
        <v>2100</v>
      </c>
      <c r="C61" s="730">
        <f t="shared" si="30"/>
        <v>0</v>
      </c>
      <c r="D61" s="730">
        <f t="shared" si="30"/>
        <v>0</v>
      </c>
      <c r="E61" s="730">
        <f t="shared" si="30"/>
        <v>0</v>
      </c>
      <c r="F61" s="730">
        <f t="shared" si="30"/>
        <v>0</v>
      </c>
      <c r="G61" s="730">
        <f t="shared" si="30"/>
        <v>0</v>
      </c>
      <c r="H61" s="730">
        <f t="shared" si="30"/>
        <v>0</v>
      </c>
      <c r="I61" s="730">
        <f t="shared" si="30"/>
        <v>0</v>
      </c>
      <c r="J61" s="730">
        <f t="shared" si="30"/>
        <v>0</v>
      </c>
      <c r="K61" s="730">
        <f t="shared" si="30"/>
        <v>0</v>
      </c>
      <c r="L61" s="730">
        <f t="shared" si="30"/>
        <v>0</v>
      </c>
      <c r="M61" s="730">
        <f t="shared" si="30"/>
        <v>0</v>
      </c>
      <c r="N61" s="731"/>
      <c r="O61" s="731"/>
      <c r="P61" s="731"/>
    </row>
    <row r="62" spans="1:16" ht="21" x14ac:dyDescent="0.25">
      <c r="A62" s="737" t="s">
        <v>197</v>
      </c>
      <c r="B62" s="727">
        <f>A65+B59</f>
        <v>5100</v>
      </c>
      <c r="C62" s="727">
        <f t="shared" ref="C62:L62" si="31">+B62+C59</f>
        <v>5100</v>
      </c>
      <c r="D62" s="727">
        <f t="shared" si="31"/>
        <v>5100</v>
      </c>
      <c r="E62" s="727">
        <f t="shared" si="31"/>
        <v>5100</v>
      </c>
      <c r="F62" s="727">
        <f t="shared" si="31"/>
        <v>5100</v>
      </c>
      <c r="G62" s="727">
        <f t="shared" si="31"/>
        <v>5100</v>
      </c>
      <c r="H62" s="727">
        <f t="shared" si="31"/>
        <v>5100</v>
      </c>
      <c r="I62" s="727">
        <f t="shared" si="31"/>
        <v>5100</v>
      </c>
      <c r="J62" s="727">
        <f t="shared" si="31"/>
        <v>5100</v>
      </c>
      <c r="K62" s="727">
        <f t="shared" si="31"/>
        <v>5100</v>
      </c>
      <c r="L62" s="727">
        <f t="shared" si="31"/>
        <v>5100</v>
      </c>
      <c r="M62" s="727">
        <f>+L62+M59</f>
        <v>5100</v>
      </c>
      <c r="N62" s="727"/>
      <c r="O62" s="728"/>
      <c r="P62" s="729"/>
    </row>
    <row r="63" spans="1:16" ht="21" x14ac:dyDescent="0.25">
      <c r="A63" s="738"/>
      <c r="B63" s="718"/>
      <c r="C63" s="718"/>
      <c r="D63" s="718"/>
      <c r="E63" s="718"/>
      <c r="F63" s="718"/>
      <c r="G63" s="718"/>
      <c r="H63" s="718"/>
      <c r="I63" s="718"/>
      <c r="J63" s="718"/>
      <c r="K63" s="718"/>
      <c r="L63" s="718"/>
      <c r="M63" s="718"/>
      <c r="N63" s="720"/>
      <c r="O63" s="720"/>
      <c r="P63" s="720"/>
    </row>
    <row r="64" spans="1:16" ht="20" customHeight="1" x14ac:dyDescent="0.25">
      <c r="A64" s="739" t="s">
        <v>324</v>
      </c>
      <c r="B64" s="720"/>
      <c r="C64" s="720"/>
      <c r="D64" s="720"/>
      <c r="E64" s="720"/>
      <c r="F64" s="720"/>
      <c r="G64" s="720"/>
      <c r="H64" s="720"/>
      <c r="I64" s="720"/>
      <c r="J64" s="720"/>
      <c r="K64" s="720"/>
      <c r="L64" s="720"/>
      <c r="M64" s="720"/>
      <c r="N64" s="720"/>
      <c r="O64" s="720"/>
      <c r="P64" s="720"/>
    </row>
    <row r="65" spans="1:16" ht="29" x14ac:dyDescent="0.35">
      <c r="A65" s="740">
        <v>3000</v>
      </c>
      <c r="B65" s="720"/>
      <c r="C65" s="720"/>
      <c r="D65" s="720"/>
      <c r="E65" s="720"/>
      <c r="F65" s="720"/>
      <c r="G65" s="720"/>
      <c r="H65" s="720"/>
      <c r="I65" s="720"/>
      <c r="J65" s="720"/>
      <c r="K65" s="720"/>
      <c r="L65" s="720"/>
      <c r="M65" s="720"/>
      <c r="N65" s="720"/>
      <c r="O65" s="720"/>
      <c r="P65" s="720"/>
    </row>
    <row r="66" spans="1:16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7:25" customFormat="1" x14ac:dyDescent="0.2">
      <c r="Q81" s="779"/>
      <c r="R81" s="779"/>
      <c r="S81" s="779"/>
      <c r="T81" s="779"/>
      <c r="U81" s="779"/>
      <c r="V81" s="779"/>
      <c r="W81" s="779"/>
      <c r="X81" s="779"/>
      <c r="Y81" s="779"/>
    </row>
    <row r="82" spans="17:25" customFormat="1" x14ac:dyDescent="0.2">
      <c r="Q82" s="779"/>
      <c r="R82" s="779"/>
      <c r="S82" s="779"/>
      <c r="T82" s="779"/>
      <c r="U82" s="779"/>
      <c r="V82" s="779"/>
      <c r="W82" s="779"/>
      <c r="X82" s="779"/>
      <c r="Y82" s="779"/>
    </row>
    <row r="83" spans="17:25" customFormat="1" x14ac:dyDescent="0.2">
      <c r="Q83" s="779"/>
      <c r="R83" s="779"/>
      <c r="S83" s="779"/>
      <c r="T83" s="779"/>
      <c r="U83" s="779"/>
      <c r="V83" s="779"/>
      <c r="W83" s="779"/>
      <c r="X83" s="779"/>
      <c r="Y83" s="779"/>
    </row>
    <row r="84" spans="17:25" customFormat="1" x14ac:dyDescent="0.2">
      <c r="Q84" s="779"/>
      <c r="R84" s="779"/>
      <c r="S84" s="779"/>
      <c r="T84" s="779"/>
      <c r="U84" s="779"/>
      <c r="V84" s="779"/>
      <c r="W84" s="779"/>
      <c r="X84" s="779"/>
      <c r="Y84" s="779"/>
    </row>
    <row r="85" spans="17:25" customFormat="1" x14ac:dyDescent="0.2">
      <c r="Q85" s="779"/>
      <c r="R85" s="779"/>
      <c r="S85" s="779"/>
      <c r="T85" s="779"/>
      <c r="U85" s="779"/>
      <c r="V85" s="779"/>
      <c r="W85" s="779"/>
      <c r="X85" s="779"/>
      <c r="Y85" s="779"/>
    </row>
    <row r="86" spans="17:25" customFormat="1" x14ac:dyDescent="0.2">
      <c r="Q86" s="779"/>
      <c r="R86" s="779"/>
      <c r="S86" s="779"/>
      <c r="T86" s="779"/>
      <c r="U86" s="779"/>
      <c r="V86" s="779"/>
      <c r="W86" s="779"/>
      <c r="X86" s="779"/>
      <c r="Y86" s="779"/>
    </row>
    <row r="87" spans="17:25" customFormat="1" x14ac:dyDescent="0.2">
      <c r="Q87" s="779"/>
      <c r="R87" s="779"/>
      <c r="S87" s="779"/>
      <c r="T87" s="779"/>
      <c r="U87" s="779"/>
      <c r="V87" s="779"/>
      <c r="W87" s="779"/>
      <c r="X87" s="779"/>
      <c r="Y87" s="779"/>
    </row>
    <row r="88" spans="17:25" customFormat="1" x14ac:dyDescent="0.2">
      <c r="Q88" s="779"/>
      <c r="R88" s="779"/>
      <c r="S88" s="779"/>
      <c r="T88" s="779"/>
      <c r="U88" s="779"/>
      <c r="V88" s="779"/>
      <c r="W88" s="779"/>
      <c r="X88" s="779"/>
      <c r="Y88" s="779"/>
    </row>
    <row r="89" spans="17:25" customFormat="1" x14ac:dyDescent="0.2">
      <c r="Q89" s="779"/>
      <c r="R89" s="779"/>
      <c r="S89" s="779"/>
      <c r="T89" s="779"/>
      <c r="U89" s="779"/>
      <c r="V89" s="779"/>
      <c r="W89" s="779"/>
      <c r="X89" s="779"/>
      <c r="Y89" s="779"/>
    </row>
    <row r="90" spans="17:25" customFormat="1" x14ac:dyDescent="0.2">
      <c r="Q90" s="779"/>
      <c r="R90" s="779"/>
      <c r="S90" s="779"/>
      <c r="T90" s="779"/>
      <c r="U90" s="779"/>
      <c r="V90" s="779"/>
      <c r="W90" s="779"/>
      <c r="X90" s="779"/>
      <c r="Y90" s="779"/>
    </row>
    <row r="91" spans="17:25" customFormat="1" x14ac:dyDescent="0.2">
      <c r="Q91" s="779"/>
      <c r="R91" s="779"/>
      <c r="S91" s="779"/>
      <c r="T91" s="779"/>
      <c r="U91" s="779"/>
      <c r="V91" s="779"/>
      <c r="W91" s="779"/>
      <c r="X91" s="779"/>
      <c r="Y91" s="779"/>
    </row>
    <row r="92" spans="17:25" customFormat="1" x14ac:dyDescent="0.2">
      <c r="Q92" s="779"/>
      <c r="R92" s="779"/>
      <c r="S92" s="779"/>
      <c r="T92" s="779"/>
      <c r="U92" s="779"/>
      <c r="V92" s="779"/>
      <c r="W92" s="779"/>
      <c r="X92" s="779"/>
      <c r="Y92" s="779"/>
    </row>
    <row r="93" spans="17:25" customFormat="1" x14ac:dyDescent="0.2">
      <c r="Q93" s="779"/>
      <c r="R93" s="779"/>
      <c r="S93" s="779"/>
      <c r="T93" s="779"/>
      <c r="U93" s="779"/>
      <c r="V93" s="779"/>
      <c r="W93" s="779"/>
      <c r="X93" s="779"/>
      <c r="Y93" s="779"/>
    </row>
    <row r="94" spans="17:25" customFormat="1" x14ac:dyDescent="0.2">
      <c r="Q94" s="779"/>
      <c r="R94" s="779"/>
      <c r="S94" s="779"/>
      <c r="T94" s="779"/>
      <c r="U94" s="779"/>
      <c r="V94" s="779"/>
      <c r="W94" s="779"/>
      <c r="X94" s="779"/>
      <c r="Y94" s="779"/>
    </row>
    <row r="95" spans="17:25" customFormat="1" x14ac:dyDescent="0.2">
      <c r="Q95" s="779"/>
      <c r="R95" s="779"/>
      <c r="S95" s="779"/>
      <c r="T95" s="779"/>
      <c r="U95" s="779"/>
      <c r="V95" s="779"/>
      <c r="W95" s="779"/>
      <c r="X95" s="779"/>
      <c r="Y95" s="779"/>
    </row>
    <row r="96" spans="17:25" customFormat="1" x14ac:dyDescent="0.2">
      <c r="Q96" s="779"/>
      <c r="R96" s="779"/>
      <c r="S96" s="779"/>
      <c r="T96" s="779"/>
      <c r="U96" s="779"/>
      <c r="V96" s="779"/>
      <c r="W96" s="779"/>
      <c r="X96" s="779"/>
      <c r="Y96" s="779"/>
    </row>
    <row r="97" spans="17:25" customFormat="1" x14ac:dyDescent="0.2">
      <c r="Q97" s="779"/>
      <c r="R97" s="779"/>
      <c r="S97" s="779"/>
      <c r="T97" s="779"/>
      <c r="U97" s="779"/>
      <c r="V97" s="779"/>
      <c r="W97" s="779"/>
      <c r="X97" s="779"/>
      <c r="Y97" s="779"/>
    </row>
    <row r="98" spans="17:25" customFormat="1" x14ac:dyDescent="0.2">
      <c r="Q98" s="779"/>
      <c r="R98" s="779"/>
      <c r="S98" s="779"/>
      <c r="T98" s="779"/>
      <c r="U98" s="779"/>
      <c r="V98" s="779"/>
      <c r="W98" s="779"/>
      <c r="X98" s="779"/>
      <c r="Y98" s="779"/>
    </row>
    <row r="99" spans="17:25" customFormat="1" x14ac:dyDescent="0.2">
      <c r="Q99" s="779"/>
      <c r="R99" s="779"/>
      <c r="S99" s="779"/>
      <c r="T99" s="779"/>
      <c r="U99" s="779"/>
      <c r="V99" s="779"/>
      <c r="W99" s="779"/>
      <c r="X99" s="779"/>
      <c r="Y99" s="779"/>
    </row>
    <row r="100" spans="17:25" customFormat="1" x14ac:dyDescent="0.2">
      <c r="Q100" s="779"/>
      <c r="R100" s="779"/>
      <c r="S100" s="779"/>
      <c r="T100" s="779"/>
      <c r="U100" s="779"/>
      <c r="V100" s="779"/>
      <c r="W100" s="779"/>
      <c r="X100" s="779"/>
      <c r="Y100" s="779"/>
    </row>
    <row r="101" spans="17:25" customFormat="1" x14ac:dyDescent="0.2">
      <c r="Q101" s="779"/>
      <c r="R101" s="779"/>
      <c r="S101" s="779"/>
      <c r="T101" s="779"/>
      <c r="U101" s="779"/>
      <c r="V101" s="779"/>
      <c r="W101" s="779"/>
      <c r="X101" s="779"/>
      <c r="Y101" s="779"/>
    </row>
    <row r="102" spans="17:25" customFormat="1" x14ac:dyDescent="0.2">
      <c r="Q102" s="779"/>
      <c r="R102" s="779"/>
      <c r="S102" s="779"/>
      <c r="T102" s="779"/>
      <c r="U102" s="779"/>
      <c r="V102" s="779"/>
      <c r="W102" s="779"/>
      <c r="X102" s="779"/>
      <c r="Y102" s="779"/>
    </row>
    <row r="103" spans="17:25" customFormat="1" x14ac:dyDescent="0.2">
      <c r="Q103" s="779"/>
      <c r="R103" s="779"/>
      <c r="S103" s="779"/>
      <c r="T103" s="779"/>
      <c r="U103" s="779"/>
      <c r="V103" s="779"/>
      <c r="W103" s="779"/>
      <c r="X103" s="779"/>
      <c r="Y103" s="779"/>
    </row>
    <row r="104" spans="17:25" customFormat="1" x14ac:dyDescent="0.2">
      <c r="Q104" s="779"/>
      <c r="R104" s="779"/>
      <c r="S104" s="779"/>
      <c r="T104" s="779"/>
      <c r="U104" s="779"/>
      <c r="V104" s="779"/>
      <c r="W104" s="779"/>
      <c r="X104" s="779"/>
      <c r="Y104" s="779"/>
    </row>
    <row r="105" spans="17:25" customFormat="1" x14ac:dyDescent="0.2">
      <c r="Q105" s="779"/>
      <c r="R105" s="779"/>
      <c r="S105" s="779"/>
      <c r="T105" s="779"/>
      <c r="U105" s="779"/>
      <c r="V105" s="779"/>
      <c r="W105" s="779"/>
      <c r="X105" s="779"/>
      <c r="Y105" s="779"/>
    </row>
    <row r="106" spans="17:25" customFormat="1" x14ac:dyDescent="0.2">
      <c r="Q106" s="779"/>
      <c r="R106" s="779"/>
      <c r="S106" s="779"/>
      <c r="T106" s="779"/>
      <c r="U106" s="779"/>
      <c r="V106" s="779"/>
      <c r="W106" s="779"/>
      <c r="X106" s="779"/>
      <c r="Y106" s="779"/>
    </row>
    <row r="107" spans="17:25" customFormat="1" x14ac:dyDescent="0.2">
      <c r="Q107" s="779"/>
      <c r="R107" s="779"/>
      <c r="S107" s="779"/>
      <c r="T107" s="779"/>
      <c r="U107" s="779"/>
      <c r="V107" s="779"/>
      <c r="W107" s="779"/>
      <c r="X107" s="779"/>
      <c r="Y107" s="779"/>
    </row>
    <row r="108" spans="17:25" customFormat="1" x14ac:dyDescent="0.2">
      <c r="Q108" s="779"/>
      <c r="R108" s="779"/>
      <c r="S108" s="779"/>
      <c r="T108" s="779"/>
      <c r="U108" s="779"/>
      <c r="V108" s="779"/>
      <c r="W108" s="779"/>
      <c r="X108" s="779"/>
      <c r="Y108" s="779"/>
    </row>
    <row r="109" spans="17:25" customFormat="1" x14ac:dyDescent="0.2">
      <c r="Q109" s="779"/>
      <c r="R109" s="779"/>
      <c r="S109" s="779"/>
      <c r="T109" s="779"/>
      <c r="U109" s="779"/>
      <c r="V109" s="779"/>
      <c r="W109" s="779"/>
      <c r="X109" s="779"/>
      <c r="Y109" s="779"/>
    </row>
    <row r="110" spans="17:25" customFormat="1" x14ac:dyDescent="0.2">
      <c r="Q110" s="779"/>
      <c r="R110" s="779"/>
      <c r="S110" s="779"/>
      <c r="T110" s="779"/>
      <c r="U110" s="779"/>
      <c r="V110" s="779"/>
      <c r="W110" s="779"/>
      <c r="X110" s="779"/>
      <c r="Y110" s="779"/>
    </row>
    <row r="111" spans="17:25" customFormat="1" x14ac:dyDescent="0.2">
      <c r="Q111" s="779"/>
      <c r="R111" s="779"/>
      <c r="S111" s="779"/>
      <c r="T111" s="779"/>
      <c r="U111" s="779"/>
      <c r="V111" s="779"/>
      <c r="W111" s="779"/>
      <c r="X111" s="779"/>
      <c r="Y111" s="779"/>
    </row>
    <row r="112" spans="17:25" customFormat="1" x14ac:dyDescent="0.2">
      <c r="Q112" s="779"/>
      <c r="R112" s="779"/>
      <c r="S112" s="779"/>
      <c r="T112" s="779"/>
      <c r="U112" s="779"/>
      <c r="V112" s="779"/>
      <c r="W112" s="779"/>
      <c r="X112" s="779"/>
      <c r="Y112" s="779"/>
    </row>
    <row r="113" spans="17:25" customFormat="1" x14ac:dyDescent="0.2">
      <c r="Q113" s="779"/>
      <c r="R113" s="779"/>
      <c r="S113" s="779"/>
      <c r="T113" s="779"/>
      <c r="U113" s="779"/>
      <c r="V113" s="779"/>
      <c r="W113" s="779"/>
      <c r="X113" s="779"/>
      <c r="Y113" s="779"/>
    </row>
    <row r="114" spans="17:25" customFormat="1" x14ac:dyDescent="0.2">
      <c r="Q114" s="779"/>
      <c r="R114" s="779"/>
      <c r="S114" s="779"/>
      <c r="T114" s="779"/>
      <c r="U114" s="779"/>
      <c r="V114" s="779"/>
      <c r="W114" s="779"/>
      <c r="X114" s="779"/>
      <c r="Y114" s="779"/>
    </row>
    <row r="115" spans="17:25" customFormat="1" x14ac:dyDescent="0.2">
      <c r="Q115" s="779"/>
      <c r="R115" s="779"/>
      <c r="S115" s="779"/>
      <c r="T115" s="779"/>
      <c r="U115" s="779"/>
      <c r="V115" s="779"/>
      <c r="W115" s="779"/>
      <c r="X115" s="779"/>
      <c r="Y115" s="779"/>
    </row>
    <row r="116" spans="17:25" customFormat="1" x14ac:dyDescent="0.2">
      <c r="Q116" s="779"/>
      <c r="R116" s="779"/>
      <c r="S116" s="779"/>
      <c r="T116" s="779"/>
      <c r="U116" s="779"/>
      <c r="V116" s="779"/>
      <c r="W116" s="779"/>
      <c r="X116" s="779"/>
      <c r="Y116" s="779"/>
    </row>
    <row r="117" spans="17:25" customFormat="1" x14ac:dyDescent="0.2">
      <c r="Q117" s="779"/>
      <c r="R117" s="779"/>
      <c r="S117" s="779"/>
      <c r="T117" s="779"/>
      <c r="U117" s="779"/>
      <c r="V117" s="779"/>
      <c r="W117" s="779"/>
      <c r="X117" s="779"/>
      <c r="Y117" s="779"/>
    </row>
    <row r="118" spans="17:25" customFormat="1" x14ac:dyDescent="0.2">
      <c r="Q118" s="779"/>
      <c r="R118" s="779"/>
      <c r="S118" s="779"/>
      <c r="T118" s="779"/>
      <c r="U118" s="779"/>
      <c r="V118" s="779"/>
      <c r="W118" s="779"/>
      <c r="X118" s="779"/>
      <c r="Y118" s="779"/>
    </row>
    <row r="119" spans="17:25" customFormat="1" x14ac:dyDescent="0.2">
      <c r="Q119" s="779"/>
      <c r="R119" s="779"/>
      <c r="S119" s="779"/>
      <c r="T119" s="779"/>
      <c r="U119" s="779"/>
      <c r="V119" s="779"/>
      <c r="W119" s="779"/>
      <c r="X119" s="779"/>
      <c r="Y119" s="779"/>
    </row>
    <row r="120" spans="17:25" customFormat="1" x14ac:dyDescent="0.2">
      <c r="Q120" s="779"/>
      <c r="R120" s="779"/>
      <c r="S120" s="779"/>
      <c r="T120" s="779"/>
      <c r="U120" s="779"/>
      <c r="V120" s="779"/>
      <c r="W120" s="779"/>
      <c r="X120" s="779"/>
      <c r="Y120" s="779"/>
    </row>
    <row r="121" spans="17:25" customFormat="1" x14ac:dyDescent="0.2">
      <c r="Q121" s="779"/>
      <c r="R121" s="779"/>
      <c r="S121" s="779"/>
      <c r="T121" s="779"/>
      <c r="U121" s="779"/>
      <c r="V121" s="779"/>
      <c r="W121" s="779"/>
      <c r="X121" s="779"/>
      <c r="Y121" s="779"/>
    </row>
    <row r="122" spans="17:25" customFormat="1" x14ac:dyDescent="0.2">
      <c r="Q122" s="779"/>
      <c r="R122" s="779"/>
      <c r="S122" s="779"/>
      <c r="T122" s="779"/>
      <c r="U122" s="779"/>
      <c r="V122" s="779"/>
      <c r="W122" s="779"/>
      <c r="X122" s="779"/>
      <c r="Y122" s="779"/>
    </row>
    <row r="123" spans="17:25" customFormat="1" x14ac:dyDescent="0.2">
      <c r="Q123" s="779"/>
      <c r="R123" s="779"/>
      <c r="S123" s="779"/>
      <c r="T123" s="779"/>
      <c r="U123" s="779"/>
      <c r="V123" s="779"/>
      <c r="W123" s="779"/>
      <c r="X123" s="779"/>
      <c r="Y123" s="779"/>
    </row>
    <row r="124" spans="17:25" customFormat="1" x14ac:dyDescent="0.2">
      <c r="Q124" s="779"/>
      <c r="R124" s="779"/>
      <c r="S124" s="779"/>
      <c r="T124" s="779"/>
      <c r="U124" s="779"/>
      <c r="V124" s="779"/>
      <c r="W124" s="779"/>
      <c r="X124" s="779"/>
      <c r="Y124" s="779"/>
    </row>
    <row r="125" spans="17:25" customFormat="1" x14ac:dyDescent="0.2">
      <c r="Q125" s="779"/>
      <c r="R125" s="779"/>
      <c r="S125" s="779"/>
      <c r="T125" s="779"/>
      <c r="U125" s="779"/>
      <c r="V125" s="779"/>
      <c r="W125" s="779"/>
      <c r="X125" s="779"/>
      <c r="Y125" s="779"/>
    </row>
    <row r="126" spans="17:25" customFormat="1" x14ac:dyDescent="0.2">
      <c r="Q126" s="779"/>
      <c r="R126" s="779"/>
      <c r="S126" s="779"/>
      <c r="T126" s="779"/>
      <c r="U126" s="779"/>
      <c r="V126" s="779"/>
      <c r="W126" s="779"/>
      <c r="X126" s="779"/>
      <c r="Y126" s="779"/>
    </row>
    <row r="127" spans="17:25" customFormat="1" x14ac:dyDescent="0.2">
      <c r="Q127" s="779"/>
      <c r="R127" s="779"/>
      <c r="S127" s="779"/>
      <c r="T127" s="779"/>
      <c r="U127" s="779"/>
      <c r="V127" s="779"/>
      <c r="W127" s="779"/>
      <c r="X127" s="779"/>
      <c r="Y127" s="779"/>
    </row>
    <row r="128" spans="17:25" customFormat="1" x14ac:dyDescent="0.2">
      <c r="Q128" s="779"/>
      <c r="R128" s="779"/>
      <c r="S128" s="779"/>
      <c r="T128" s="779"/>
      <c r="U128" s="779"/>
      <c r="V128" s="779"/>
      <c r="W128" s="779"/>
      <c r="X128" s="779"/>
      <c r="Y128" s="779"/>
    </row>
    <row r="129" spans="17:25" customFormat="1" x14ac:dyDescent="0.2">
      <c r="Q129" s="779"/>
      <c r="R129" s="779"/>
      <c r="S129" s="779"/>
      <c r="T129" s="779"/>
      <c r="U129" s="779"/>
      <c r="V129" s="779"/>
      <c r="W129" s="779"/>
      <c r="X129" s="779"/>
      <c r="Y129" s="779"/>
    </row>
    <row r="130" spans="17:25" customFormat="1" x14ac:dyDescent="0.2">
      <c r="Q130" s="779"/>
      <c r="R130" s="779"/>
      <c r="S130" s="779"/>
      <c r="T130" s="779"/>
      <c r="U130" s="779"/>
      <c r="V130" s="779"/>
      <c r="W130" s="779"/>
      <c r="X130" s="779"/>
      <c r="Y130" s="779"/>
    </row>
    <row r="131" spans="17:25" customFormat="1" x14ac:dyDescent="0.2">
      <c r="Q131" s="779"/>
      <c r="R131" s="779"/>
      <c r="S131" s="779"/>
      <c r="T131" s="779"/>
      <c r="U131" s="779"/>
      <c r="V131" s="779"/>
      <c r="W131" s="779"/>
      <c r="X131" s="779"/>
      <c r="Y131" s="779"/>
    </row>
    <row r="132" spans="17:25" customFormat="1" x14ac:dyDescent="0.2">
      <c r="Q132" s="779"/>
      <c r="R132" s="779"/>
      <c r="S132" s="779"/>
      <c r="T132" s="779"/>
      <c r="U132" s="779"/>
      <c r="V132" s="779"/>
      <c r="W132" s="779"/>
      <c r="X132" s="779"/>
      <c r="Y132" s="779"/>
    </row>
    <row r="133" spans="17:25" customFormat="1" x14ac:dyDescent="0.2">
      <c r="Q133" s="779"/>
      <c r="R133" s="779"/>
      <c r="S133" s="779"/>
      <c r="T133" s="779"/>
      <c r="U133" s="779"/>
      <c r="V133" s="779"/>
      <c r="W133" s="779"/>
      <c r="X133" s="779"/>
      <c r="Y133" s="779"/>
    </row>
    <row r="134" spans="17:25" customFormat="1" x14ac:dyDescent="0.2">
      <c r="Q134" s="779"/>
      <c r="R134" s="779"/>
      <c r="S134" s="779"/>
      <c r="T134" s="779"/>
      <c r="U134" s="779"/>
      <c r="V134" s="779"/>
      <c r="W134" s="779"/>
      <c r="X134" s="779"/>
      <c r="Y134" s="779"/>
    </row>
    <row r="135" spans="17:25" customFormat="1" x14ac:dyDescent="0.2">
      <c r="Q135" s="779"/>
      <c r="R135" s="779"/>
      <c r="S135" s="779"/>
      <c r="T135" s="779"/>
      <c r="U135" s="779"/>
      <c r="V135" s="779"/>
      <c r="W135" s="779"/>
      <c r="X135" s="779"/>
      <c r="Y135" s="779"/>
    </row>
    <row r="136" spans="17:25" customFormat="1" x14ac:dyDescent="0.2">
      <c r="Q136" s="779"/>
      <c r="R136" s="779"/>
      <c r="S136" s="779"/>
      <c r="T136" s="779"/>
      <c r="U136" s="779"/>
      <c r="V136" s="779"/>
      <c r="W136" s="779"/>
      <c r="X136" s="779"/>
      <c r="Y136" s="779"/>
    </row>
    <row r="137" spans="17:25" customFormat="1" x14ac:dyDescent="0.2">
      <c r="Q137" s="779"/>
      <c r="R137" s="779"/>
      <c r="S137" s="779"/>
      <c r="T137" s="779"/>
      <c r="U137" s="779"/>
      <c r="V137" s="779"/>
      <c r="W137" s="779"/>
      <c r="X137" s="779"/>
      <c r="Y137" s="779"/>
    </row>
    <row r="138" spans="17:25" customFormat="1" x14ac:dyDescent="0.2">
      <c r="Q138" s="779"/>
      <c r="R138" s="779"/>
      <c r="S138" s="779"/>
      <c r="T138" s="779"/>
      <c r="U138" s="779"/>
      <c r="V138" s="779"/>
      <c r="W138" s="779"/>
      <c r="X138" s="779"/>
      <c r="Y138" s="779"/>
    </row>
    <row r="139" spans="17:25" customFormat="1" x14ac:dyDescent="0.2">
      <c r="Q139" s="779"/>
      <c r="R139" s="779"/>
      <c r="S139" s="779"/>
      <c r="T139" s="779"/>
      <c r="U139" s="779"/>
      <c r="V139" s="779"/>
      <c r="W139" s="779"/>
      <c r="X139" s="779"/>
      <c r="Y139" s="779"/>
    </row>
    <row r="140" spans="17:25" customFormat="1" x14ac:dyDescent="0.2">
      <c r="Q140" s="779"/>
      <c r="R140" s="779"/>
      <c r="S140" s="779"/>
      <c r="T140" s="779"/>
      <c r="U140" s="779"/>
      <c r="V140" s="779"/>
      <c r="W140" s="779"/>
      <c r="X140" s="779"/>
      <c r="Y140" s="779"/>
    </row>
    <row r="141" spans="17:25" customFormat="1" x14ac:dyDescent="0.2">
      <c r="Q141" s="779"/>
      <c r="R141" s="779"/>
      <c r="S141" s="779"/>
      <c r="T141" s="779"/>
      <c r="U141" s="779"/>
      <c r="V141" s="779"/>
      <c r="W141" s="779"/>
      <c r="X141" s="779"/>
      <c r="Y141" s="779"/>
    </row>
    <row r="142" spans="17:25" customFormat="1" x14ac:dyDescent="0.2">
      <c r="Q142" s="779"/>
      <c r="R142" s="779"/>
      <c r="S142" s="779"/>
      <c r="T142" s="779"/>
      <c r="U142" s="779"/>
      <c r="V142" s="779"/>
      <c r="W142" s="779"/>
      <c r="X142" s="779"/>
      <c r="Y142" s="779"/>
    </row>
    <row r="143" spans="17:25" customFormat="1" x14ac:dyDescent="0.2">
      <c r="Q143" s="779"/>
      <c r="R143" s="779"/>
      <c r="S143" s="779"/>
      <c r="T143" s="779"/>
      <c r="U143" s="779"/>
      <c r="V143" s="779"/>
      <c r="W143" s="779"/>
      <c r="X143" s="779"/>
      <c r="Y143" s="779"/>
    </row>
    <row r="144" spans="17:25" customFormat="1" x14ac:dyDescent="0.2">
      <c r="Q144" s="779"/>
      <c r="R144" s="779"/>
      <c r="S144" s="779"/>
      <c r="T144" s="779"/>
      <c r="U144" s="779"/>
      <c r="V144" s="779"/>
      <c r="W144" s="779"/>
      <c r="X144" s="779"/>
      <c r="Y144" s="779"/>
    </row>
    <row r="145" spans="17:25" customFormat="1" x14ac:dyDescent="0.2">
      <c r="Q145" s="779"/>
      <c r="R145" s="779"/>
      <c r="S145" s="779"/>
      <c r="T145" s="779"/>
      <c r="U145" s="779"/>
      <c r="V145" s="779"/>
      <c r="W145" s="779"/>
      <c r="X145" s="779"/>
      <c r="Y145" s="779"/>
    </row>
    <row r="146" spans="17:25" customFormat="1" x14ac:dyDescent="0.2">
      <c r="Q146" s="779"/>
      <c r="R146" s="779"/>
      <c r="S146" s="779"/>
      <c r="T146" s="779"/>
      <c r="U146" s="779"/>
      <c r="V146" s="779"/>
      <c r="W146" s="779"/>
      <c r="X146" s="779"/>
      <c r="Y146" s="779"/>
    </row>
    <row r="147" spans="17:25" customFormat="1" x14ac:dyDescent="0.2">
      <c r="Q147" s="779"/>
      <c r="R147" s="779"/>
      <c r="S147" s="779"/>
      <c r="T147" s="779"/>
      <c r="U147" s="779"/>
      <c r="V147" s="779"/>
      <c r="W147" s="779"/>
      <c r="X147" s="779"/>
      <c r="Y147" s="779"/>
    </row>
    <row r="148" spans="17:25" customFormat="1" x14ac:dyDescent="0.2">
      <c r="Q148" s="779"/>
      <c r="R148" s="779"/>
      <c r="S148" s="779"/>
      <c r="T148" s="779"/>
      <c r="U148" s="779"/>
      <c r="V148" s="779"/>
      <c r="W148" s="779"/>
      <c r="X148" s="779"/>
      <c r="Y148" s="779"/>
    </row>
    <row r="149" spans="17:25" customFormat="1" x14ac:dyDescent="0.2">
      <c r="Q149" s="779"/>
      <c r="R149" s="779"/>
      <c r="S149" s="779"/>
      <c r="T149" s="779"/>
      <c r="U149" s="779"/>
      <c r="V149" s="779"/>
      <c r="W149" s="779"/>
      <c r="X149" s="779"/>
      <c r="Y149" s="779"/>
    </row>
    <row r="150" spans="17:25" customFormat="1" x14ac:dyDescent="0.2">
      <c r="Q150" s="779"/>
      <c r="R150" s="779"/>
      <c r="S150" s="779"/>
      <c r="T150" s="779"/>
      <c r="U150" s="779"/>
      <c r="V150" s="779"/>
      <c r="W150" s="779"/>
      <c r="X150" s="779"/>
      <c r="Y150" s="779"/>
    </row>
    <row r="151" spans="17:25" customFormat="1" x14ac:dyDescent="0.2">
      <c r="Q151" s="779"/>
      <c r="R151" s="779"/>
      <c r="S151" s="779"/>
      <c r="T151" s="779"/>
      <c r="U151" s="779"/>
      <c r="V151" s="779"/>
      <c r="W151" s="779"/>
      <c r="X151" s="779"/>
      <c r="Y151" s="779"/>
    </row>
    <row r="152" spans="17:25" customFormat="1" x14ac:dyDescent="0.2">
      <c r="Q152" s="779"/>
      <c r="R152" s="779"/>
      <c r="S152" s="779"/>
      <c r="T152" s="779"/>
      <c r="U152" s="779"/>
      <c r="V152" s="779"/>
      <c r="W152" s="779"/>
      <c r="X152" s="779"/>
      <c r="Y152" s="779"/>
    </row>
    <row r="153" spans="17:25" customFormat="1" x14ac:dyDescent="0.2">
      <c r="Q153" s="779"/>
      <c r="R153" s="779"/>
      <c r="S153" s="779"/>
      <c r="T153" s="779"/>
      <c r="U153" s="779"/>
      <c r="V153" s="779"/>
      <c r="W153" s="779"/>
      <c r="X153" s="779"/>
      <c r="Y153" s="779"/>
    </row>
    <row r="154" spans="17:25" customFormat="1" x14ac:dyDescent="0.2">
      <c r="Q154" s="779"/>
      <c r="R154" s="779"/>
      <c r="S154" s="779"/>
      <c r="T154" s="779"/>
      <c r="U154" s="779"/>
      <c r="V154" s="779"/>
      <c r="W154" s="779"/>
      <c r="X154" s="779"/>
      <c r="Y154" s="779"/>
    </row>
    <row r="155" spans="17:25" customFormat="1" x14ac:dyDescent="0.2">
      <c r="Q155" s="779"/>
      <c r="R155" s="779"/>
      <c r="S155" s="779"/>
      <c r="T155" s="779"/>
      <c r="U155" s="779"/>
      <c r="V155" s="779"/>
      <c r="W155" s="779"/>
      <c r="X155" s="779"/>
      <c r="Y155" s="779"/>
    </row>
    <row r="156" spans="17:25" customFormat="1" x14ac:dyDescent="0.2">
      <c r="Q156" s="779"/>
      <c r="R156" s="779"/>
      <c r="S156" s="779"/>
      <c r="T156" s="779"/>
      <c r="U156" s="779"/>
      <c r="V156" s="779"/>
      <c r="W156" s="779"/>
      <c r="X156" s="779"/>
      <c r="Y156" s="779"/>
    </row>
    <row r="157" spans="17:25" customFormat="1" x14ac:dyDescent="0.2">
      <c r="Q157" s="779"/>
      <c r="R157" s="779"/>
      <c r="S157" s="779"/>
      <c r="T157" s="779"/>
      <c r="U157" s="779"/>
      <c r="V157" s="779"/>
      <c r="W157" s="779"/>
      <c r="X157" s="779"/>
      <c r="Y157" s="779"/>
    </row>
    <row r="158" spans="17:25" customFormat="1" x14ac:dyDescent="0.2">
      <c r="Q158" s="779"/>
      <c r="R158" s="779"/>
      <c r="S158" s="779"/>
      <c r="T158" s="779"/>
      <c r="U158" s="779"/>
      <c r="V158" s="779"/>
      <c r="W158" s="779"/>
      <c r="X158" s="779"/>
      <c r="Y158" s="779"/>
    </row>
    <row r="159" spans="17:25" customFormat="1" x14ac:dyDescent="0.2">
      <c r="Q159" s="779"/>
      <c r="R159" s="779"/>
      <c r="S159" s="779"/>
      <c r="T159" s="779"/>
      <c r="U159" s="779"/>
      <c r="V159" s="779"/>
      <c r="W159" s="779"/>
      <c r="X159" s="779"/>
      <c r="Y159" s="779"/>
    </row>
    <row r="160" spans="17:25" customFormat="1" x14ac:dyDescent="0.2">
      <c r="Q160" s="779"/>
      <c r="R160" s="779"/>
      <c r="S160" s="779"/>
      <c r="T160" s="779"/>
      <c r="U160" s="779"/>
      <c r="V160" s="779"/>
      <c r="W160" s="779"/>
      <c r="X160" s="779"/>
      <c r="Y160" s="779"/>
    </row>
    <row r="161" spans="17:25" customFormat="1" x14ac:dyDescent="0.2">
      <c r="Q161" s="779"/>
      <c r="R161" s="779"/>
      <c r="S161" s="779"/>
      <c r="T161" s="779"/>
      <c r="U161" s="779"/>
      <c r="V161" s="779"/>
      <c r="W161" s="779"/>
      <c r="X161" s="779"/>
      <c r="Y161" s="779"/>
    </row>
    <row r="162" spans="17:25" customFormat="1" x14ac:dyDescent="0.2">
      <c r="Q162" s="779"/>
      <c r="R162" s="779"/>
      <c r="S162" s="779"/>
      <c r="T162" s="779"/>
      <c r="U162" s="779"/>
      <c r="V162" s="779"/>
      <c r="W162" s="779"/>
      <c r="X162" s="779"/>
      <c r="Y162" s="779"/>
    </row>
    <row r="163" spans="17:25" customFormat="1" x14ac:dyDescent="0.2">
      <c r="Q163" s="779"/>
      <c r="R163" s="779"/>
      <c r="S163" s="779"/>
      <c r="T163" s="779"/>
      <c r="U163" s="779"/>
      <c r="V163" s="779"/>
      <c r="W163" s="779"/>
      <c r="X163" s="779"/>
      <c r="Y163" s="779"/>
    </row>
    <row r="164" spans="17:25" customFormat="1" x14ac:dyDescent="0.2">
      <c r="Q164" s="779"/>
      <c r="R164" s="779"/>
      <c r="S164" s="779"/>
      <c r="T164" s="779"/>
      <c r="U164" s="779"/>
      <c r="V164" s="779"/>
      <c r="W164" s="779"/>
      <c r="X164" s="779"/>
      <c r="Y164" s="779"/>
    </row>
    <row r="165" spans="17:25" customFormat="1" x14ac:dyDescent="0.2">
      <c r="Q165" s="779"/>
      <c r="R165" s="779"/>
      <c r="S165" s="779"/>
      <c r="T165" s="779"/>
      <c r="U165" s="779"/>
      <c r="V165" s="779"/>
      <c r="W165" s="779"/>
      <c r="X165" s="779"/>
      <c r="Y165" s="779"/>
    </row>
    <row r="166" spans="17:25" customFormat="1" x14ac:dyDescent="0.2">
      <c r="Q166" s="779"/>
      <c r="R166" s="779"/>
      <c r="S166" s="779"/>
      <c r="T166" s="779"/>
      <c r="U166" s="779"/>
      <c r="V166" s="779"/>
      <c r="W166" s="779"/>
      <c r="X166" s="779"/>
      <c r="Y166" s="779"/>
    </row>
    <row r="167" spans="17:25" customFormat="1" x14ac:dyDescent="0.2">
      <c r="Q167" s="779"/>
      <c r="R167" s="779"/>
      <c r="S167" s="779"/>
      <c r="T167" s="779"/>
      <c r="U167" s="779"/>
      <c r="V167" s="779"/>
      <c r="W167" s="779"/>
      <c r="X167" s="779"/>
      <c r="Y167" s="779"/>
    </row>
    <row r="168" spans="17:25" customFormat="1" x14ac:dyDescent="0.2">
      <c r="Q168" s="779"/>
      <c r="R168" s="779"/>
      <c r="S168" s="779"/>
      <c r="T168" s="779"/>
      <c r="U168" s="779"/>
      <c r="V168" s="779"/>
      <c r="W168" s="779"/>
      <c r="X168" s="779"/>
      <c r="Y168" s="779"/>
    </row>
    <row r="169" spans="17:25" customFormat="1" x14ac:dyDescent="0.2">
      <c r="Q169" s="779"/>
      <c r="R169" s="779"/>
      <c r="S169" s="779"/>
      <c r="T169" s="779"/>
      <c r="U169" s="779"/>
      <c r="V169" s="779"/>
      <c r="W169" s="779"/>
      <c r="X169" s="779"/>
      <c r="Y169" s="779"/>
    </row>
    <row r="170" spans="17:25" customFormat="1" x14ac:dyDescent="0.2">
      <c r="Q170" s="779"/>
      <c r="R170" s="779"/>
      <c r="S170" s="779"/>
      <c r="T170" s="779"/>
      <c r="U170" s="779"/>
      <c r="V170" s="779"/>
      <c r="W170" s="779"/>
      <c r="X170" s="779"/>
      <c r="Y170" s="779"/>
    </row>
    <row r="171" spans="17:25" customFormat="1" x14ac:dyDescent="0.2">
      <c r="Q171" s="779"/>
      <c r="R171" s="779"/>
      <c r="S171" s="779"/>
      <c r="T171" s="779"/>
      <c r="U171" s="779"/>
      <c r="V171" s="779"/>
      <c r="W171" s="779"/>
      <c r="X171" s="779"/>
      <c r="Y171" s="779"/>
    </row>
    <row r="172" spans="17:25" customFormat="1" x14ac:dyDescent="0.2">
      <c r="Q172" s="779"/>
      <c r="R172" s="779"/>
      <c r="S172" s="779"/>
      <c r="T172" s="779"/>
      <c r="U172" s="779"/>
      <c r="V172" s="779"/>
      <c r="W172" s="779"/>
      <c r="X172" s="779"/>
      <c r="Y172" s="779"/>
    </row>
    <row r="173" spans="17:25" customFormat="1" x14ac:dyDescent="0.2">
      <c r="Q173" s="779"/>
      <c r="R173" s="779"/>
      <c r="S173" s="779"/>
      <c r="T173" s="779"/>
      <c r="U173" s="779"/>
      <c r="V173" s="779"/>
      <c r="W173" s="779"/>
      <c r="X173" s="779"/>
      <c r="Y173" s="779"/>
    </row>
    <row r="174" spans="17:25" customFormat="1" x14ac:dyDescent="0.2">
      <c r="Q174" s="779"/>
      <c r="R174" s="779"/>
      <c r="S174" s="779"/>
      <c r="T174" s="779"/>
      <c r="U174" s="779"/>
      <c r="V174" s="779"/>
      <c r="W174" s="779"/>
      <c r="X174" s="779"/>
      <c r="Y174" s="779"/>
    </row>
    <row r="175" spans="17:25" customFormat="1" x14ac:dyDescent="0.2">
      <c r="Q175" s="779"/>
      <c r="R175" s="779"/>
      <c r="S175" s="779"/>
      <c r="T175" s="779"/>
      <c r="U175" s="779"/>
      <c r="V175" s="779"/>
      <c r="W175" s="779"/>
      <c r="X175" s="779"/>
      <c r="Y175" s="779"/>
    </row>
    <row r="176" spans="17:25" customFormat="1" x14ac:dyDescent="0.2">
      <c r="Q176" s="779"/>
      <c r="R176" s="779"/>
      <c r="S176" s="779"/>
      <c r="T176" s="779"/>
      <c r="U176" s="779"/>
      <c r="V176" s="779"/>
      <c r="W176" s="779"/>
      <c r="X176" s="779"/>
      <c r="Y176" s="779"/>
    </row>
    <row r="177" spans="17:25" customFormat="1" x14ac:dyDescent="0.2">
      <c r="Q177" s="779"/>
      <c r="R177" s="779"/>
      <c r="S177" s="779"/>
      <c r="T177" s="779"/>
      <c r="U177" s="779"/>
      <c r="V177" s="779"/>
      <c r="W177" s="779"/>
      <c r="X177" s="779"/>
      <c r="Y177" s="779"/>
    </row>
    <row r="178" spans="17:25" customFormat="1" x14ac:dyDescent="0.2">
      <c r="Q178" s="779"/>
      <c r="R178" s="779"/>
      <c r="S178" s="779"/>
      <c r="T178" s="779"/>
      <c r="U178" s="779"/>
      <c r="V178" s="779"/>
      <c r="W178" s="779"/>
      <c r="X178" s="779"/>
      <c r="Y178" s="779"/>
    </row>
    <row r="179" spans="17:25" customFormat="1" x14ac:dyDescent="0.2">
      <c r="Q179" s="779"/>
      <c r="R179" s="779"/>
      <c r="S179" s="779"/>
      <c r="T179" s="779"/>
      <c r="U179" s="779"/>
      <c r="V179" s="779"/>
      <c r="W179" s="779"/>
      <c r="X179" s="779"/>
      <c r="Y179" s="779"/>
    </row>
    <row r="180" spans="17:25" customFormat="1" x14ac:dyDescent="0.2">
      <c r="Q180" s="779"/>
      <c r="R180" s="779"/>
      <c r="S180" s="779"/>
      <c r="T180" s="779"/>
      <c r="U180" s="779"/>
      <c r="V180" s="779"/>
      <c r="W180" s="779"/>
      <c r="X180" s="779"/>
      <c r="Y180" s="779"/>
    </row>
    <row r="181" spans="17:25" customFormat="1" x14ac:dyDescent="0.2">
      <c r="Q181" s="779"/>
      <c r="R181" s="779"/>
      <c r="S181" s="779"/>
      <c r="T181" s="779"/>
      <c r="U181" s="779"/>
      <c r="V181" s="779"/>
      <c r="W181" s="779"/>
      <c r="X181" s="779"/>
      <c r="Y181" s="779"/>
    </row>
    <row r="182" spans="17:25" customFormat="1" x14ac:dyDescent="0.2">
      <c r="Q182" s="779"/>
      <c r="R182" s="779"/>
      <c r="S182" s="779"/>
      <c r="T182" s="779"/>
      <c r="U182" s="779"/>
      <c r="V182" s="779"/>
      <c r="W182" s="779"/>
      <c r="X182" s="779"/>
      <c r="Y182" s="779"/>
    </row>
    <row r="183" spans="17:25" customFormat="1" x14ac:dyDescent="0.2">
      <c r="Q183" s="779"/>
      <c r="R183" s="779"/>
      <c r="S183" s="779"/>
      <c r="T183" s="779"/>
      <c r="U183" s="779"/>
      <c r="V183" s="779"/>
      <c r="W183" s="779"/>
      <c r="X183" s="779"/>
      <c r="Y183" s="779"/>
    </row>
    <row r="184" spans="17:25" customFormat="1" x14ac:dyDescent="0.2">
      <c r="Q184" s="779"/>
      <c r="R184" s="779"/>
      <c r="S184" s="779"/>
      <c r="T184" s="779"/>
      <c r="U184" s="779"/>
      <c r="V184" s="779"/>
      <c r="W184" s="779"/>
      <c r="X184" s="779"/>
      <c r="Y184" s="779"/>
    </row>
    <row r="185" spans="17:25" customFormat="1" x14ac:dyDescent="0.2">
      <c r="Q185" s="779"/>
      <c r="R185" s="779"/>
      <c r="S185" s="779"/>
      <c r="T185" s="779"/>
      <c r="U185" s="779"/>
      <c r="V185" s="779"/>
      <c r="W185" s="779"/>
      <c r="X185" s="779"/>
      <c r="Y185" s="779"/>
    </row>
  </sheetData>
  <mergeCells count="1">
    <mergeCell ref="Q1:Y1048576"/>
  </mergeCells>
  <conditionalFormatting sqref="B59:M59">
    <cfRule type="cellIs" dxfId="65" priority="1" operator="greaterThan">
      <formula>0</formula>
    </cfRule>
    <cfRule type="cellIs" dxfId="64" priority="2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A55C-C7D6-45FE-9E6A-750EFA84A680}">
  <sheetPr codeName="Feuil12"/>
  <dimension ref="A1:H77"/>
  <sheetViews>
    <sheetView zoomScaleNormal="100" workbookViewId="0">
      <selection activeCell="F2" sqref="F2:G2"/>
    </sheetView>
  </sheetViews>
  <sheetFormatPr baseColWidth="10" defaultColWidth="11.3984375" defaultRowHeight="21" x14ac:dyDescent="0.25"/>
  <cols>
    <col min="1" max="1" width="8" style="632" bestFit="1" customWidth="1"/>
    <col min="2" max="2" width="50.59765625" style="632" customWidth="1"/>
    <col min="3" max="4" width="20.59765625" style="174" customWidth="1"/>
    <col min="5" max="5" width="12" style="605" customWidth="1"/>
    <col min="6" max="6" width="12" style="604" customWidth="1"/>
    <col min="7" max="7" width="32.3984375" style="632" customWidth="1"/>
    <col min="8" max="8" width="22" style="632" customWidth="1"/>
    <col min="9" max="16384" width="11.3984375" style="632"/>
  </cols>
  <sheetData>
    <row r="1" spans="1:8" s="630" customFormat="1" x14ac:dyDescent="0.25">
      <c r="A1" s="628"/>
      <c r="B1" s="629"/>
      <c r="C1" s="620" t="s">
        <v>144</v>
      </c>
      <c r="D1" s="620" t="s">
        <v>145</v>
      </c>
      <c r="E1" s="621" t="s">
        <v>146</v>
      </c>
      <c r="F1" s="786" t="s">
        <v>468</v>
      </c>
      <c r="G1" s="786"/>
    </row>
    <row r="2" spans="1:8" x14ac:dyDescent="0.25">
      <c r="A2" s="631"/>
      <c r="B2" s="631"/>
      <c r="C2" s="622"/>
      <c r="D2" s="622"/>
      <c r="E2" s="623"/>
      <c r="F2" s="781" t="s">
        <v>557</v>
      </c>
      <c r="G2" s="781"/>
    </row>
    <row r="3" spans="1:8" x14ac:dyDescent="0.25">
      <c r="A3" s="631"/>
      <c r="B3" s="631"/>
      <c r="C3" s="622"/>
      <c r="D3" s="622"/>
      <c r="E3" s="623"/>
      <c r="F3" s="703"/>
      <c r="G3" s="703"/>
    </row>
    <row r="4" spans="1:8" ht="24" x14ac:dyDescent="0.3">
      <c r="A4" s="631"/>
      <c r="B4" s="633" t="s">
        <v>147</v>
      </c>
      <c r="C4" s="622"/>
      <c r="D4" s="622"/>
      <c r="E4" s="623"/>
      <c r="F4" s="781"/>
      <c r="G4" s="781"/>
    </row>
    <row r="5" spans="1:8" x14ac:dyDescent="0.25">
      <c r="A5" s="631"/>
      <c r="B5" s="632" t="s">
        <v>469</v>
      </c>
      <c r="C5" s="175">
        <v>4000</v>
      </c>
      <c r="D5" s="175">
        <f>+C5*12</f>
        <v>48000</v>
      </c>
      <c r="E5" s="623"/>
      <c r="F5" s="781"/>
      <c r="G5" s="781"/>
    </row>
    <row r="6" spans="1:8" x14ac:dyDescent="0.25">
      <c r="A6" s="631"/>
      <c r="B6" s="632" t="s">
        <v>470</v>
      </c>
      <c r="C6" s="175">
        <v>0</v>
      </c>
      <c r="D6" s="175">
        <f>+C6*12</f>
        <v>0</v>
      </c>
      <c r="E6" s="623"/>
      <c r="F6" s="781"/>
      <c r="G6" s="781"/>
    </row>
    <row r="7" spans="1:8" x14ac:dyDescent="0.25">
      <c r="A7" s="631"/>
      <c r="B7" s="632" t="s">
        <v>471</v>
      </c>
      <c r="C7" s="175">
        <v>0</v>
      </c>
      <c r="D7" s="175">
        <f>+C7*12</f>
        <v>0</v>
      </c>
      <c r="E7" s="623"/>
      <c r="F7" s="781"/>
      <c r="G7" s="781"/>
    </row>
    <row r="8" spans="1:8" ht="22" thickBot="1" x14ac:dyDescent="0.3">
      <c r="A8" s="631"/>
      <c r="B8" s="631"/>
      <c r="C8" s="176"/>
      <c r="D8" s="176"/>
      <c r="E8" s="623"/>
      <c r="F8" s="781"/>
      <c r="G8" s="781"/>
    </row>
    <row r="9" spans="1:8" ht="22" thickTop="1" x14ac:dyDescent="0.25">
      <c r="A9" s="631"/>
      <c r="B9" s="634" t="s">
        <v>149</v>
      </c>
      <c r="C9" s="624">
        <f>SUM(C5:C8)</f>
        <v>4000</v>
      </c>
      <c r="D9" s="624">
        <f>SUM(D5:D8)</f>
        <v>48000</v>
      </c>
      <c r="E9" s="623"/>
      <c r="F9" s="781"/>
      <c r="G9" s="781"/>
    </row>
    <row r="10" spans="1:8" x14ac:dyDescent="0.25">
      <c r="A10" s="631"/>
      <c r="B10" s="631"/>
      <c r="C10" s="622"/>
      <c r="D10" s="622"/>
      <c r="E10" s="623"/>
      <c r="F10" s="781"/>
      <c r="G10" s="781"/>
    </row>
    <row r="11" spans="1:8" x14ac:dyDescent="0.25">
      <c r="A11" s="631"/>
      <c r="B11" s="631"/>
      <c r="C11" s="622"/>
      <c r="D11" s="622"/>
      <c r="E11" s="623"/>
      <c r="F11" s="781"/>
      <c r="G11" s="781"/>
    </row>
    <row r="12" spans="1:8" ht="24" x14ac:dyDescent="0.3">
      <c r="A12" s="631"/>
      <c r="B12" s="635" t="s">
        <v>150</v>
      </c>
      <c r="C12" s="622"/>
      <c r="D12" s="622"/>
      <c r="E12" s="623"/>
      <c r="F12" s="781"/>
      <c r="G12" s="781"/>
    </row>
    <row r="13" spans="1:8" ht="22" thickBot="1" x14ac:dyDescent="0.3">
      <c r="A13" s="636"/>
      <c r="B13" s="637" t="s">
        <v>486</v>
      </c>
      <c r="C13" s="612"/>
      <c r="D13" s="612"/>
      <c r="E13" s="613"/>
      <c r="F13" s="781"/>
      <c r="G13" s="781"/>
      <c r="H13" s="616"/>
    </row>
    <row r="14" spans="1:8" x14ac:dyDescent="0.25">
      <c r="A14" s="638">
        <v>0.03</v>
      </c>
      <c r="B14" s="632" t="s">
        <v>181</v>
      </c>
      <c r="C14" s="175">
        <v>100</v>
      </c>
      <c r="D14" s="175">
        <f>+C14*12</f>
        <v>1200</v>
      </c>
      <c r="E14" s="615">
        <f>D14/D9</f>
        <v>2.5000000000000001E-2</v>
      </c>
      <c r="F14" s="781"/>
      <c r="G14" s="781"/>
      <c r="H14" s="639"/>
    </row>
    <row r="15" spans="1:8" ht="22" thickBot="1" x14ac:dyDescent="0.3">
      <c r="A15" s="640"/>
      <c r="B15" s="637" t="s">
        <v>487</v>
      </c>
      <c r="C15" s="612"/>
      <c r="D15" s="612"/>
      <c r="E15" s="617"/>
      <c r="F15" s="781"/>
      <c r="G15" s="781"/>
      <c r="H15" s="639"/>
    </row>
    <row r="16" spans="1:8" x14ac:dyDescent="0.25">
      <c r="A16" s="785">
        <v>0.15</v>
      </c>
      <c r="B16" s="632" t="s">
        <v>183</v>
      </c>
      <c r="C16" s="175">
        <v>600</v>
      </c>
      <c r="D16" s="175">
        <f>+C16*12</f>
        <v>7200</v>
      </c>
      <c r="E16" s="608">
        <f>D16/D9</f>
        <v>0.15</v>
      </c>
      <c r="F16" s="781"/>
      <c r="G16" s="781"/>
      <c r="H16" s="616"/>
    </row>
    <row r="17" spans="1:8" x14ac:dyDescent="0.25">
      <c r="A17" s="785"/>
      <c r="B17" s="632" t="s">
        <v>184</v>
      </c>
      <c r="C17" s="175">
        <v>0</v>
      </c>
      <c r="D17" s="175">
        <f>+C17*12</f>
        <v>0</v>
      </c>
      <c r="E17" s="608">
        <f>D17/D9</f>
        <v>0</v>
      </c>
      <c r="F17" s="781"/>
      <c r="G17" s="781"/>
      <c r="H17" s="616"/>
    </row>
    <row r="18" spans="1:8" x14ac:dyDescent="0.25">
      <c r="A18" s="785"/>
      <c r="B18" s="632" t="s">
        <v>185</v>
      </c>
      <c r="C18" s="175">
        <v>0</v>
      </c>
      <c r="D18" s="175">
        <f>+C18*12</f>
        <v>0</v>
      </c>
      <c r="E18" s="608">
        <f>D18/D9</f>
        <v>0</v>
      </c>
      <c r="F18" s="781"/>
      <c r="G18" s="781"/>
      <c r="H18" s="616"/>
    </row>
    <row r="19" spans="1:8" x14ac:dyDescent="0.25">
      <c r="A19" s="785"/>
      <c r="B19" s="642" t="s">
        <v>359</v>
      </c>
      <c r="C19" s="609">
        <f>C16+C17+C18</f>
        <v>600</v>
      </c>
      <c r="D19" s="609">
        <f>D16+D17+D18</f>
        <v>7200</v>
      </c>
      <c r="E19" s="610">
        <f>E16+E17+E18</f>
        <v>0.15</v>
      </c>
      <c r="F19" s="781"/>
      <c r="G19" s="781"/>
      <c r="H19" s="616"/>
    </row>
    <row r="20" spans="1:8" ht="22" thickBot="1" x14ac:dyDescent="0.3">
      <c r="A20" s="643"/>
      <c r="B20" s="637" t="s">
        <v>151</v>
      </c>
      <c r="C20" s="606"/>
      <c r="D20" s="606"/>
      <c r="E20" s="607"/>
      <c r="F20" s="781"/>
      <c r="G20" s="781"/>
    </row>
    <row r="21" spans="1:8" x14ac:dyDescent="0.25">
      <c r="A21" s="784">
        <v>0.35</v>
      </c>
      <c r="B21" s="632" t="s">
        <v>152</v>
      </c>
      <c r="C21" s="175">
        <v>900</v>
      </c>
      <c r="D21" s="175">
        <f>+C21*12</f>
        <v>10800</v>
      </c>
      <c r="E21" s="608">
        <f>D21/D9</f>
        <v>0.22500000000000001</v>
      </c>
      <c r="F21" s="781"/>
      <c r="G21" s="781"/>
    </row>
    <row r="22" spans="1:8" x14ac:dyDescent="0.25">
      <c r="A22" s="785"/>
      <c r="B22" s="632" t="s">
        <v>153</v>
      </c>
      <c r="C22" s="175">
        <v>200</v>
      </c>
      <c r="D22" s="175">
        <f>+C22*12</f>
        <v>2400</v>
      </c>
      <c r="E22" s="608">
        <f>D22/D9</f>
        <v>0.05</v>
      </c>
      <c r="F22" s="781"/>
      <c r="G22" s="781"/>
    </row>
    <row r="23" spans="1:8" x14ac:dyDescent="0.25">
      <c r="A23" s="785"/>
      <c r="B23" s="632" t="s">
        <v>472</v>
      </c>
      <c r="C23" s="175">
        <v>200</v>
      </c>
      <c r="D23" s="175">
        <v>0</v>
      </c>
      <c r="E23" s="608">
        <f>D23/D9</f>
        <v>0</v>
      </c>
      <c r="F23" s="781"/>
      <c r="G23" s="781"/>
    </row>
    <row r="24" spans="1:8" x14ac:dyDescent="0.25">
      <c r="A24" s="785"/>
      <c r="B24" s="632" t="s">
        <v>155</v>
      </c>
      <c r="C24" s="175">
        <v>100</v>
      </c>
      <c r="D24" s="175">
        <f>+C24*12</f>
        <v>1200</v>
      </c>
      <c r="E24" s="608">
        <f>D24/D9</f>
        <v>2.5000000000000001E-2</v>
      </c>
      <c r="F24" s="781"/>
      <c r="G24" s="781"/>
    </row>
    <row r="25" spans="1:8" x14ac:dyDescent="0.25">
      <c r="A25" s="785"/>
      <c r="B25" s="632" t="s">
        <v>156</v>
      </c>
      <c r="C25" s="175">
        <v>50</v>
      </c>
      <c r="D25" s="175">
        <f>+C25*12</f>
        <v>600</v>
      </c>
      <c r="E25" s="608">
        <f>D25/D9</f>
        <v>1.2500000000000001E-2</v>
      </c>
      <c r="F25" s="781"/>
      <c r="G25" s="781"/>
    </row>
    <row r="26" spans="1:8" x14ac:dyDescent="0.25">
      <c r="A26" s="785"/>
      <c r="B26" s="642" t="s">
        <v>359</v>
      </c>
      <c r="C26" s="609">
        <f>C21+C22+C23+C24+C25</f>
        <v>1450</v>
      </c>
      <c r="D26" s="609">
        <f>D21+D22+D23+D24+D25</f>
        <v>15000</v>
      </c>
      <c r="E26" s="610">
        <f>E21+E22+E23+E24+E25</f>
        <v>0.31250000000000006</v>
      </c>
      <c r="F26" s="781"/>
      <c r="G26" s="781"/>
    </row>
    <row r="27" spans="1:8" ht="22" thickBot="1" x14ac:dyDescent="0.3">
      <c r="A27" s="644"/>
      <c r="B27" s="637" t="s">
        <v>473</v>
      </c>
      <c r="C27" s="611"/>
      <c r="D27" s="611"/>
      <c r="E27" s="607"/>
      <c r="F27" s="781"/>
      <c r="G27" s="781"/>
    </row>
    <row r="28" spans="1:8" x14ac:dyDescent="0.25">
      <c r="A28" s="784">
        <v>0.05</v>
      </c>
      <c r="B28" s="632" t="s">
        <v>171</v>
      </c>
      <c r="C28" s="175">
        <v>70</v>
      </c>
      <c r="D28" s="175">
        <f>+C28*12</f>
        <v>840</v>
      </c>
      <c r="E28" s="608">
        <f>D28/D9</f>
        <v>1.7500000000000002E-2</v>
      </c>
      <c r="F28" s="781"/>
      <c r="G28" s="781"/>
    </row>
    <row r="29" spans="1:8" x14ac:dyDescent="0.25">
      <c r="A29" s="785"/>
      <c r="B29" s="632" t="s">
        <v>474</v>
      </c>
      <c r="C29" s="175">
        <v>35</v>
      </c>
      <c r="D29" s="175">
        <f>+C29*12</f>
        <v>420</v>
      </c>
      <c r="E29" s="608">
        <f>D29/D9</f>
        <v>8.7500000000000008E-3</v>
      </c>
      <c r="F29" s="781"/>
      <c r="G29" s="781"/>
    </row>
    <row r="30" spans="1:8" x14ac:dyDescent="0.25">
      <c r="A30" s="785"/>
      <c r="B30" s="632" t="s">
        <v>475</v>
      </c>
      <c r="C30" s="175">
        <v>15</v>
      </c>
      <c r="D30" s="175">
        <f>+C30*12</f>
        <v>180</v>
      </c>
      <c r="E30" s="608">
        <f>D30/D9</f>
        <v>3.7499999999999999E-3</v>
      </c>
      <c r="F30" s="781"/>
      <c r="G30" s="781"/>
    </row>
    <row r="31" spans="1:8" x14ac:dyDescent="0.25">
      <c r="A31" s="785"/>
      <c r="B31" s="642" t="s">
        <v>359</v>
      </c>
      <c r="C31" s="609">
        <f>C28+C29+C30</f>
        <v>120</v>
      </c>
      <c r="D31" s="609">
        <f>D28+D29+D30</f>
        <v>1440</v>
      </c>
      <c r="E31" s="610">
        <f>E28+E29+E30</f>
        <v>3.0000000000000002E-2</v>
      </c>
      <c r="F31" s="781"/>
      <c r="G31" s="781"/>
    </row>
    <row r="32" spans="1:8" ht="22" thickBot="1" x14ac:dyDescent="0.3">
      <c r="A32" s="636"/>
      <c r="B32" s="645" t="s">
        <v>157</v>
      </c>
      <c r="C32" s="612"/>
      <c r="D32" s="612"/>
      <c r="E32" s="607"/>
      <c r="F32" s="781"/>
      <c r="G32" s="781"/>
    </row>
    <row r="33" spans="1:7" x14ac:dyDescent="0.25">
      <c r="A33" s="784">
        <v>0.15</v>
      </c>
      <c r="B33" s="632" t="s">
        <v>158</v>
      </c>
      <c r="C33" s="175">
        <v>100</v>
      </c>
      <c r="D33" s="175">
        <f>+C33*12</f>
        <v>1200</v>
      </c>
      <c r="E33" s="608">
        <f>D33/D9</f>
        <v>2.5000000000000001E-2</v>
      </c>
      <c r="F33" s="781"/>
      <c r="G33" s="781"/>
    </row>
    <row r="34" spans="1:7" x14ac:dyDescent="0.25">
      <c r="A34" s="785"/>
      <c r="B34" s="632" t="s">
        <v>476</v>
      </c>
      <c r="C34" s="175">
        <v>100</v>
      </c>
      <c r="D34" s="175">
        <f>+C34*12</f>
        <v>1200</v>
      </c>
      <c r="E34" s="608">
        <f>D34/D9</f>
        <v>2.5000000000000001E-2</v>
      </c>
      <c r="F34" s="781"/>
      <c r="G34" s="781"/>
    </row>
    <row r="35" spans="1:7" x14ac:dyDescent="0.25">
      <c r="A35" s="785"/>
      <c r="B35" s="632" t="s">
        <v>160</v>
      </c>
      <c r="C35" s="175">
        <v>100</v>
      </c>
      <c r="D35" s="175">
        <f>+C35*12</f>
        <v>1200</v>
      </c>
      <c r="E35" s="608">
        <f>D35/D9</f>
        <v>2.5000000000000001E-2</v>
      </c>
      <c r="F35" s="781"/>
      <c r="G35" s="781"/>
    </row>
    <row r="36" spans="1:7" x14ac:dyDescent="0.25">
      <c r="A36" s="785"/>
      <c r="B36" s="632" t="s">
        <v>491</v>
      </c>
      <c r="C36" s="175">
        <v>20</v>
      </c>
      <c r="D36" s="175">
        <f>+C36*12</f>
        <v>240</v>
      </c>
      <c r="E36" s="608">
        <f>D36/D9</f>
        <v>5.0000000000000001E-3</v>
      </c>
      <c r="F36" s="781"/>
      <c r="G36" s="781"/>
    </row>
    <row r="37" spans="1:7" x14ac:dyDescent="0.25">
      <c r="A37" s="785"/>
      <c r="B37" s="642" t="s">
        <v>359</v>
      </c>
      <c r="C37" s="609">
        <f>C33+C34+C35+C36</f>
        <v>320</v>
      </c>
      <c r="D37" s="609">
        <f>D33+D34+D35+D36</f>
        <v>3840</v>
      </c>
      <c r="E37" s="610">
        <f>E33+E34+E35+E36</f>
        <v>8.0000000000000016E-2</v>
      </c>
      <c r="F37" s="781"/>
      <c r="G37" s="781"/>
    </row>
    <row r="38" spans="1:7" ht="22" thickBot="1" x14ac:dyDescent="0.3">
      <c r="A38" s="636"/>
      <c r="B38" s="645" t="s">
        <v>477</v>
      </c>
      <c r="C38" s="612"/>
      <c r="D38" s="612"/>
      <c r="E38" s="607"/>
      <c r="F38" s="781"/>
      <c r="G38" s="781"/>
    </row>
    <row r="39" spans="1:7" x14ac:dyDescent="0.25">
      <c r="A39" s="784">
        <v>7.0000000000000007E-2</v>
      </c>
      <c r="B39" s="632" t="s">
        <v>223</v>
      </c>
      <c r="C39" s="175">
        <v>150</v>
      </c>
      <c r="D39" s="175">
        <f>+C39*12</f>
        <v>1800</v>
      </c>
      <c r="E39" s="608">
        <f>D39/D9</f>
        <v>3.7499999999999999E-2</v>
      </c>
      <c r="F39" s="781"/>
      <c r="G39" s="781"/>
    </row>
    <row r="40" spans="1:7" x14ac:dyDescent="0.25">
      <c r="A40" s="785"/>
      <c r="B40" s="632" t="s">
        <v>164</v>
      </c>
      <c r="C40" s="175">
        <v>50</v>
      </c>
      <c r="D40" s="175">
        <f>+C40*12</f>
        <v>600</v>
      </c>
      <c r="E40" s="608">
        <f>D40/D9</f>
        <v>1.2500000000000001E-2</v>
      </c>
      <c r="F40" s="781"/>
      <c r="G40" s="781"/>
    </row>
    <row r="41" spans="1:7" x14ac:dyDescent="0.25">
      <c r="A41" s="785"/>
      <c r="B41" s="632" t="s">
        <v>478</v>
      </c>
      <c r="C41" s="175">
        <v>100</v>
      </c>
      <c r="D41" s="175">
        <f>+C41*12</f>
        <v>1200</v>
      </c>
      <c r="E41" s="608">
        <f>D41/D9</f>
        <v>2.5000000000000001E-2</v>
      </c>
      <c r="F41" s="781"/>
      <c r="G41" s="781"/>
    </row>
    <row r="42" spans="1:7" x14ac:dyDescent="0.25">
      <c r="A42" s="785"/>
      <c r="B42" s="632" t="s">
        <v>479</v>
      </c>
      <c r="C42" s="175">
        <v>20</v>
      </c>
      <c r="D42" s="175">
        <f>+C42*12</f>
        <v>240</v>
      </c>
      <c r="E42" s="608">
        <f>D42/D9</f>
        <v>5.0000000000000001E-3</v>
      </c>
      <c r="F42" s="781"/>
      <c r="G42" s="781"/>
    </row>
    <row r="43" spans="1:7" x14ac:dyDescent="0.25">
      <c r="A43" s="785"/>
      <c r="B43" s="632" t="s">
        <v>480</v>
      </c>
      <c r="C43" s="175">
        <v>20</v>
      </c>
      <c r="D43" s="175">
        <f>+C43*12</f>
        <v>240</v>
      </c>
      <c r="E43" s="608">
        <f>D43/D9</f>
        <v>5.0000000000000001E-3</v>
      </c>
      <c r="F43" s="781"/>
      <c r="G43" s="781"/>
    </row>
    <row r="44" spans="1:7" x14ac:dyDescent="0.25">
      <c r="A44" s="785"/>
      <c r="B44" s="642" t="s">
        <v>359</v>
      </c>
      <c r="C44" s="609">
        <f>C39+C40+C41+C42+C43</f>
        <v>340</v>
      </c>
      <c r="D44" s="609">
        <f>D39+D40+D41+D42+D43</f>
        <v>4080</v>
      </c>
      <c r="E44" s="610">
        <f>E39+E40+E41+E42+E43</f>
        <v>8.500000000000002E-2</v>
      </c>
      <c r="F44" s="781"/>
      <c r="G44" s="781"/>
    </row>
    <row r="45" spans="1:7" ht="22" thickBot="1" x14ac:dyDescent="0.3">
      <c r="A45" s="636"/>
      <c r="B45" s="645" t="s">
        <v>481</v>
      </c>
      <c r="C45" s="612"/>
      <c r="D45" s="612"/>
      <c r="E45" s="613"/>
      <c r="F45" s="781"/>
      <c r="G45" s="781"/>
    </row>
    <row r="46" spans="1:7" x14ac:dyDescent="0.25">
      <c r="A46" s="784">
        <v>0.15</v>
      </c>
      <c r="B46" s="632" t="s">
        <v>166</v>
      </c>
      <c r="C46" s="175">
        <f>1000/12</f>
        <v>83.333333333333329</v>
      </c>
      <c r="D46" s="175">
        <f>+C46*12</f>
        <v>1000</v>
      </c>
      <c r="E46" s="608">
        <f>D46/D9</f>
        <v>2.0833333333333332E-2</v>
      </c>
      <c r="F46" s="781"/>
      <c r="G46" s="781"/>
    </row>
    <row r="47" spans="1:7" x14ac:dyDescent="0.25">
      <c r="A47" s="785"/>
      <c r="B47" s="632" t="s">
        <v>167</v>
      </c>
      <c r="C47" s="175">
        <v>5</v>
      </c>
      <c r="D47" s="175">
        <f>+C47*12</f>
        <v>60</v>
      </c>
      <c r="E47" s="608">
        <f>D47/D9</f>
        <v>1.25E-3</v>
      </c>
      <c r="F47" s="781"/>
      <c r="G47" s="781"/>
    </row>
    <row r="48" spans="1:7" ht="21" customHeight="1" x14ac:dyDescent="0.25">
      <c r="A48" s="785"/>
      <c r="B48" s="632" t="s">
        <v>168</v>
      </c>
      <c r="C48" s="175">
        <v>10</v>
      </c>
      <c r="D48" s="175">
        <f>+C48*12</f>
        <v>120</v>
      </c>
      <c r="E48" s="608">
        <f>D48/D9</f>
        <v>2.5000000000000001E-3</v>
      </c>
      <c r="F48" s="781"/>
      <c r="G48" s="781"/>
    </row>
    <row r="49" spans="1:8" x14ac:dyDescent="0.25">
      <c r="A49" s="785"/>
      <c r="B49" s="646" t="s">
        <v>482</v>
      </c>
      <c r="C49" s="175">
        <v>15</v>
      </c>
      <c r="D49" s="175">
        <f>+C49*12</f>
        <v>180</v>
      </c>
      <c r="E49" s="608">
        <f>D49/D9</f>
        <v>3.7499999999999999E-3</v>
      </c>
      <c r="F49" s="781"/>
      <c r="G49" s="781"/>
    </row>
    <row r="50" spans="1:8" x14ac:dyDescent="0.25">
      <c r="A50" s="785"/>
      <c r="B50" s="646" t="s">
        <v>483</v>
      </c>
      <c r="C50" s="175">
        <v>100</v>
      </c>
      <c r="D50" s="175">
        <f>+C50*12</f>
        <v>1200</v>
      </c>
      <c r="E50" s="608">
        <f>D50/D9</f>
        <v>2.5000000000000001E-2</v>
      </c>
      <c r="F50" s="781"/>
      <c r="G50" s="781"/>
    </row>
    <row r="51" spans="1:8" x14ac:dyDescent="0.25">
      <c r="A51" s="785"/>
      <c r="B51" s="642" t="s">
        <v>359</v>
      </c>
      <c r="C51" s="609">
        <f>C46+C47+C48+C49+C50</f>
        <v>213.33333333333331</v>
      </c>
      <c r="D51" s="609">
        <f>D46+D47+D48+D49+D50</f>
        <v>2560</v>
      </c>
      <c r="E51" s="610">
        <f>E46+E47+E48+E49+E50</f>
        <v>5.333333333333333E-2</v>
      </c>
      <c r="F51" s="781"/>
      <c r="G51" s="781"/>
    </row>
    <row r="52" spans="1:8" ht="22" thickBot="1" x14ac:dyDescent="0.3">
      <c r="A52" s="636"/>
      <c r="B52" s="637" t="s">
        <v>170</v>
      </c>
      <c r="C52" s="612"/>
      <c r="D52" s="612"/>
      <c r="E52" s="613"/>
      <c r="F52" s="781"/>
      <c r="G52" s="781"/>
    </row>
    <row r="53" spans="1:8" x14ac:dyDescent="0.25">
      <c r="A53" s="784">
        <v>0.05</v>
      </c>
      <c r="B53" s="632" t="s">
        <v>188</v>
      </c>
      <c r="C53" s="175">
        <v>10</v>
      </c>
      <c r="D53" s="175">
        <f t="shared" ref="D53:D59" si="0">+C53*12</f>
        <v>120</v>
      </c>
      <c r="E53" s="608">
        <f>D53/D9</f>
        <v>2.5000000000000001E-3</v>
      </c>
      <c r="F53" s="781"/>
      <c r="G53" s="781"/>
    </row>
    <row r="54" spans="1:8" x14ac:dyDescent="0.25">
      <c r="A54" s="785"/>
      <c r="B54" s="632" t="s">
        <v>172</v>
      </c>
      <c r="C54" s="175">
        <v>10</v>
      </c>
      <c r="D54" s="175">
        <f t="shared" si="0"/>
        <v>120</v>
      </c>
      <c r="E54" s="608">
        <f>D54/D9</f>
        <v>2.5000000000000001E-3</v>
      </c>
      <c r="F54" s="781"/>
      <c r="G54" s="781"/>
    </row>
    <row r="55" spans="1:8" x14ac:dyDescent="0.25">
      <c r="A55" s="785"/>
      <c r="B55" s="632" t="s">
        <v>484</v>
      </c>
      <c r="C55" s="175">
        <v>10</v>
      </c>
      <c r="D55" s="175">
        <f t="shared" si="0"/>
        <v>120</v>
      </c>
      <c r="E55" s="608">
        <f>D55/D9</f>
        <v>2.5000000000000001E-3</v>
      </c>
      <c r="F55" s="781"/>
      <c r="G55" s="781"/>
    </row>
    <row r="56" spans="1:8" x14ac:dyDescent="0.25">
      <c r="A56" s="785"/>
      <c r="B56" s="632" t="s">
        <v>174</v>
      </c>
      <c r="C56" s="175">
        <v>0</v>
      </c>
      <c r="D56" s="175">
        <f t="shared" si="0"/>
        <v>0</v>
      </c>
      <c r="E56" s="608">
        <f>D56/D9</f>
        <v>0</v>
      </c>
      <c r="F56" s="781"/>
      <c r="G56" s="781"/>
    </row>
    <row r="57" spans="1:8" x14ac:dyDescent="0.25">
      <c r="A57" s="785"/>
      <c r="B57" s="632" t="s">
        <v>175</v>
      </c>
      <c r="C57" s="175">
        <v>0</v>
      </c>
      <c r="D57" s="175">
        <f t="shared" si="0"/>
        <v>0</v>
      </c>
      <c r="E57" s="608">
        <f>D57/D9</f>
        <v>0</v>
      </c>
      <c r="F57" s="781"/>
      <c r="G57" s="781"/>
    </row>
    <row r="58" spans="1:8" x14ac:dyDescent="0.25">
      <c r="A58" s="785"/>
      <c r="B58" s="632" t="s">
        <v>485</v>
      </c>
      <c r="C58" s="175">
        <v>0</v>
      </c>
      <c r="D58" s="175">
        <f t="shared" si="0"/>
        <v>0</v>
      </c>
      <c r="E58" s="608">
        <f>D58/D9</f>
        <v>0</v>
      </c>
      <c r="F58" s="781"/>
      <c r="G58" s="781"/>
    </row>
    <row r="59" spans="1:8" x14ac:dyDescent="0.25">
      <c r="A59" s="785"/>
      <c r="B59" s="632" t="s">
        <v>186</v>
      </c>
      <c r="C59" s="614">
        <v>0</v>
      </c>
      <c r="D59" s="175">
        <f t="shared" si="0"/>
        <v>0</v>
      </c>
      <c r="E59" s="608">
        <f>D59/D9</f>
        <v>0</v>
      </c>
      <c r="F59" s="781"/>
      <c r="G59" s="781"/>
      <c r="H59" s="647"/>
    </row>
    <row r="60" spans="1:8" x14ac:dyDescent="0.25">
      <c r="A60" s="785"/>
      <c r="B60" s="642" t="s">
        <v>359</v>
      </c>
      <c r="C60" s="648">
        <f>C53+C54+C55+C56+C57+C58+C59</f>
        <v>30</v>
      </c>
      <c r="D60" s="648">
        <f>D53+D54+D55+D56+D57+D58+D59</f>
        <v>360</v>
      </c>
      <c r="E60" s="615">
        <f>E53+E54+E55+E56+E57+E58+E59</f>
        <v>7.4999999999999997E-3</v>
      </c>
      <c r="F60" s="781"/>
      <c r="G60" s="781"/>
      <c r="H60" s="647"/>
    </row>
    <row r="61" spans="1:8" ht="22" thickBot="1" x14ac:dyDescent="0.3">
      <c r="A61" s="636"/>
      <c r="B61" s="637" t="s">
        <v>177</v>
      </c>
      <c r="C61" s="612"/>
      <c r="D61" s="612"/>
      <c r="E61" s="613"/>
      <c r="F61" s="781"/>
      <c r="G61" s="781"/>
    </row>
    <row r="62" spans="1:8" x14ac:dyDescent="0.25">
      <c r="A62" s="641">
        <v>0</v>
      </c>
      <c r="B62" s="632" t="s">
        <v>178</v>
      </c>
      <c r="C62" s="175">
        <v>0</v>
      </c>
      <c r="D62" s="175">
        <f>+C62*12</f>
        <v>0</v>
      </c>
      <c r="E62" s="618">
        <f>+D62/$D$66</f>
        <v>0</v>
      </c>
      <c r="F62" s="781"/>
      <c r="G62" s="781"/>
    </row>
    <row r="63" spans="1:8" x14ac:dyDescent="0.25">
      <c r="A63" s="780"/>
      <c r="B63" s="780"/>
      <c r="C63" s="175"/>
      <c r="D63" s="175"/>
      <c r="F63" s="781"/>
      <c r="G63" s="781"/>
    </row>
    <row r="64" spans="1:8" x14ac:dyDescent="0.25">
      <c r="A64" s="649">
        <f>A62+A16+A14++A53+A46+A39+A33+A28+A21</f>
        <v>1</v>
      </c>
      <c r="C64" s="175"/>
      <c r="D64" s="175"/>
      <c r="F64" s="781"/>
      <c r="G64" s="781"/>
    </row>
    <row r="65" spans="1:7" ht="22" thickBot="1" x14ac:dyDescent="0.3">
      <c r="A65" s="780"/>
      <c r="B65" s="780"/>
      <c r="C65" s="176"/>
      <c r="D65" s="176"/>
      <c r="E65" s="619"/>
      <c r="F65" s="781"/>
      <c r="G65" s="781"/>
    </row>
    <row r="66" spans="1:7" ht="22" thickTop="1" x14ac:dyDescent="0.25">
      <c r="A66" s="782" t="s">
        <v>195</v>
      </c>
      <c r="B66" s="782"/>
      <c r="C66" s="625">
        <f>C26+C31+C37+C44+C51+C60+C19+C62+C14</f>
        <v>3173.3333333333335</v>
      </c>
      <c r="D66" s="625">
        <f>D26+D31+D37+D44+D51+D60+D19+D62+D14</f>
        <v>35680</v>
      </c>
      <c r="E66" s="626">
        <f>E26+E31+E37+E44+E51+E60+E19+E62+E14</f>
        <v>0.7433333333333334</v>
      </c>
      <c r="F66" s="781"/>
      <c r="G66" s="781"/>
    </row>
    <row r="67" spans="1:7" x14ac:dyDescent="0.25">
      <c r="A67" s="783"/>
      <c r="B67" s="783"/>
      <c r="C67" s="622"/>
      <c r="D67" s="622"/>
      <c r="E67" s="623"/>
      <c r="F67" s="781"/>
      <c r="G67" s="781"/>
    </row>
    <row r="68" spans="1:7" x14ac:dyDescent="0.25">
      <c r="A68" s="782" t="s">
        <v>196</v>
      </c>
      <c r="B68" s="782"/>
      <c r="C68" s="622">
        <f>C9-C66</f>
        <v>826.66666666666652</v>
      </c>
      <c r="D68" s="627">
        <f>+D9-D66</f>
        <v>12320</v>
      </c>
      <c r="E68" s="623"/>
      <c r="F68" s="781"/>
      <c r="G68" s="781"/>
    </row>
    <row r="69" spans="1:7" x14ac:dyDescent="0.25">
      <c r="A69" s="780"/>
      <c r="B69" s="780"/>
    </row>
    <row r="70" spans="1:7" x14ac:dyDescent="0.25">
      <c r="A70" s="780"/>
      <c r="B70" s="780"/>
    </row>
    <row r="71" spans="1:7" x14ac:dyDescent="0.25">
      <c r="A71" s="780"/>
      <c r="B71" s="780"/>
    </row>
    <row r="72" spans="1:7" x14ac:dyDescent="0.25">
      <c r="A72" s="780"/>
      <c r="B72" s="780"/>
    </row>
    <row r="73" spans="1:7" x14ac:dyDescent="0.25">
      <c r="A73" s="780"/>
      <c r="B73" s="780"/>
    </row>
    <row r="74" spans="1:7" x14ac:dyDescent="0.25">
      <c r="A74" s="780"/>
      <c r="B74" s="780"/>
    </row>
    <row r="75" spans="1:7" x14ac:dyDescent="0.25">
      <c r="A75" s="780"/>
      <c r="B75" s="780"/>
    </row>
    <row r="76" spans="1:7" x14ac:dyDescent="0.25">
      <c r="A76" s="780"/>
      <c r="B76" s="780"/>
    </row>
    <row r="77" spans="1:7" x14ac:dyDescent="0.25">
      <c r="A77" s="780"/>
      <c r="B77" s="780"/>
    </row>
  </sheetData>
  <sheetProtection insertColumns="0" insertRows="0" deleteColumns="0" deleteRows="0" sort="0" autoFilter="0" pivotTables="0"/>
  <mergeCells count="88">
    <mergeCell ref="F13:G13"/>
    <mergeCell ref="F1:G1"/>
    <mergeCell ref="F2:G2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4:G14"/>
    <mergeCell ref="F15:G15"/>
    <mergeCell ref="A16:A19"/>
    <mergeCell ref="F16:G16"/>
    <mergeCell ref="F17:G17"/>
    <mergeCell ref="F18:G18"/>
    <mergeCell ref="F19:G19"/>
    <mergeCell ref="F20:G20"/>
    <mergeCell ref="A21:A26"/>
    <mergeCell ref="F21:G21"/>
    <mergeCell ref="F22:G22"/>
    <mergeCell ref="F23:G23"/>
    <mergeCell ref="F24:G24"/>
    <mergeCell ref="F25:G25"/>
    <mergeCell ref="F26:G26"/>
    <mergeCell ref="F27:G27"/>
    <mergeCell ref="A28:A31"/>
    <mergeCell ref="F28:G28"/>
    <mergeCell ref="F29:G29"/>
    <mergeCell ref="F30:G30"/>
    <mergeCell ref="F31:G31"/>
    <mergeCell ref="F32:G32"/>
    <mergeCell ref="A33:A37"/>
    <mergeCell ref="F33:G33"/>
    <mergeCell ref="F34:G34"/>
    <mergeCell ref="F35:G35"/>
    <mergeCell ref="F36:G36"/>
    <mergeCell ref="F37:G37"/>
    <mergeCell ref="A53:A60"/>
    <mergeCell ref="F53:G53"/>
    <mergeCell ref="F54:G54"/>
    <mergeCell ref="F38:G38"/>
    <mergeCell ref="A39:A44"/>
    <mergeCell ref="F39:G39"/>
    <mergeCell ref="F40:G40"/>
    <mergeCell ref="F41:G41"/>
    <mergeCell ref="F42:G42"/>
    <mergeCell ref="F43:G43"/>
    <mergeCell ref="F44:G44"/>
    <mergeCell ref="F45:G45"/>
    <mergeCell ref="A46:A51"/>
    <mergeCell ref="F46:G46"/>
    <mergeCell ref="F47:G47"/>
    <mergeCell ref="F48:G48"/>
    <mergeCell ref="F49:G49"/>
    <mergeCell ref="F50:G50"/>
    <mergeCell ref="F51:G51"/>
    <mergeCell ref="F55:G55"/>
    <mergeCell ref="F52:G52"/>
    <mergeCell ref="F56:G56"/>
    <mergeCell ref="F57:G57"/>
    <mergeCell ref="F58:G58"/>
    <mergeCell ref="F59:G59"/>
    <mergeCell ref="F60:G60"/>
    <mergeCell ref="F61:G61"/>
    <mergeCell ref="F62:G62"/>
    <mergeCell ref="A63:B63"/>
    <mergeCell ref="F63:G63"/>
    <mergeCell ref="A68:B68"/>
    <mergeCell ref="F68:G68"/>
    <mergeCell ref="F64:G64"/>
    <mergeCell ref="A66:B66"/>
    <mergeCell ref="F66:G66"/>
    <mergeCell ref="A67:B67"/>
    <mergeCell ref="F67:G67"/>
    <mergeCell ref="A65:B65"/>
    <mergeCell ref="F65:G65"/>
    <mergeCell ref="A75:B75"/>
    <mergeCell ref="A76:B76"/>
    <mergeCell ref="A77:B77"/>
    <mergeCell ref="A69:B69"/>
    <mergeCell ref="A70:B70"/>
    <mergeCell ref="A71:B71"/>
    <mergeCell ref="A72:B72"/>
    <mergeCell ref="A73:B73"/>
    <mergeCell ref="A74:B74"/>
  </mergeCells>
  <conditionalFormatting sqref="C68">
    <cfRule type="cellIs" dxfId="63" priority="19" operator="greaterThan">
      <formula>0</formula>
    </cfRule>
    <cfRule type="cellIs" dxfId="62" priority="20" operator="lessThan">
      <formula>0</formula>
    </cfRule>
  </conditionalFormatting>
  <conditionalFormatting sqref="E26">
    <cfRule type="cellIs" dxfId="61" priority="17" operator="lessThan">
      <formula>0.35</formula>
    </cfRule>
    <cfRule type="cellIs" dxfId="60" priority="18" operator="greaterThan">
      <formula>0.35</formula>
    </cfRule>
  </conditionalFormatting>
  <conditionalFormatting sqref="E31">
    <cfRule type="cellIs" dxfId="59" priority="15" operator="lessThan">
      <formula>$A$28</formula>
    </cfRule>
    <cfRule type="cellIs" dxfId="58" priority="16" operator="greaterThan">
      <formula>$A$28</formula>
    </cfRule>
  </conditionalFormatting>
  <conditionalFormatting sqref="E37">
    <cfRule type="cellIs" dxfId="57" priority="11" operator="lessThan">
      <formula>$A$33</formula>
    </cfRule>
    <cfRule type="cellIs" dxfId="56" priority="12" operator="greaterThan">
      <formula>$A$33</formula>
    </cfRule>
    <cfRule type="cellIs" dxfId="55" priority="13" operator="lessThan">
      <formula>"$A$25"</formula>
    </cfRule>
    <cfRule type="cellIs" dxfId="54" priority="14" operator="greaterThan">
      <formula>$A$33</formula>
    </cfRule>
  </conditionalFormatting>
  <conditionalFormatting sqref="E44">
    <cfRule type="cellIs" dxfId="53" priority="9" operator="lessThan">
      <formula>$A$39</formula>
    </cfRule>
    <cfRule type="cellIs" dxfId="52" priority="10" operator="greaterThan">
      <formula>$A$39</formula>
    </cfRule>
  </conditionalFormatting>
  <conditionalFormatting sqref="E51">
    <cfRule type="cellIs" dxfId="51" priority="7" operator="lessThan">
      <formula>$A$46</formula>
    </cfRule>
    <cfRule type="cellIs" dxfId="50" priority="8" operator="greaterThan">
      <formula>$A$46</formula>
    </cfRule>
  </conditionalFormatting>
  <conditionalFormatting sqref="E60">
    <cfRule type="cellIs" dxfId="49" priority="5" operator="lessThan">
      <formula>$A$53</formula>
    </cfRule>
    <cfRule type="cellIs" dxfId="48" priority="6" operator="greaterThan">
      <formula>$A$53</formula>
    </cfRule>
  </conditionalFormatting>
  <conditionalFormatting sqref="E14">
    <cfRule type="cellIs" dxfId="47" priority="3" operator="lessThan">
      <formula>$A$14</formula>
    </cfRule>
    <cfRule type="cellIs" dxfId="46" priority="4" operator="greaterThan">
      <formula>$A$14</formula>
    </cfRule>
  </conditionalFormatting>
  <conditionalFormatting sqref="E19">
    <cfRule type="cellIs" dxfId="45" priority="1" operator="lessThan">
      <formula>$A$16</formula>
    </cfRule>
    <cfRule type="cellIs" dxfId="44" priority="2" operator="greaterThan">
      <formula>$A$16</formula>
    </cfRule>
    <cfRule type="cellIs" dxfId="43" priority="21" operator="lessThan">
      <formula>$A$16</formula>
    </cfRule>
    <cfRule type="cellIs" dxfId="42" priority="22" operator="greaterThan">
      <formula>$A$16</formula>
    </cfRule>
    <cfRule type="cellIs" dxfId="41" priority="23" operator="lessThan">
      <formula>"$A$54"</formula>
    </cfRule>
    <cfRule type="cellIs" dxfId="40" priority="24" operator="greaterThan">
      <formula>$A$14</formula>
    </cfRule>
  </conditionalFormatting>
  <pageMargins left="0.7" right="0.7" top="0.75" bottom="0.75" header="0.3" footer="0.3"/>
  <pageSetup scale="40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0A74-52DC-4154-85F3-4E1F4C4EBECD}">
  <sheetPr codeName="Feuil13"/>
  <dimension ref="A1"/>
  <sheetViews>
    <sheetView workbookViewId="0"/>
  </sheetViews>
  <sheetFormatPr baseColWidth="10" defaultColWidth="11" defaultRowHeight="14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E402-7B91-49C4-AD2B-9343C726CF15}">
  <sheetPr codeName="Feuil14"/>
  <dimension ref="A1:E16"/>
  <sheetViews>
    <sheetView workbookViewId="0">
      <selection activeCell="C12" sqref="C12"/>
    </sheetView>
  </sheetViews>
  <sheetFormatPr baseColWidth="10" defaultColWidth="11.3984375" defaultRowHeight="14" x14ac:dyDescent="0.2"/>
  <cols>
    <col min="2" max="2" width="34.59765625" customWidth="1"/>
    <col min="3" max="3" width="46.59765625" customWidth="1"/>
    <col min="4" max="4" width="15.19921875" customWidth="1"/>
    <col min="5" max="5" width="24.3984375" customWidth="1"/>
  </cols>
  <sheetData>
    <row r="1" spans="1:5" ht="16" thickBot="1" x14ac:dyDescent="0.25">
      <c r="A1" s="787" t="s">
        <v>126</v>
      </c>
      <c r="B1" s="788"/>
      <c r="C1" s="788"/>
      <c r="D1" s="788"/>
      <c r="E1" s="789"/>
    </row>
    <row r="2" spans="1:5" ht="15" x14ac:dyDescent="0.2">
      <c r="A2" s="14" t="s">
        <v>116</v>
      </c>
      <c r="B2" s="15" t="s">
        <v>117</v>
      </c>
      <c r="C2" s="15" t="s">
        <v>118</v>
      </c>
      <c r="D2" s="16" t="s">
        <v>120</v>
      </c>
      <c r="E2" s="17" t="s">
        <v>122</v>
      </c>
    </row>
    <row r="3" spans="1:5" ht="25.5" customHeight="1" x14ac:dyDescent="0.2">
      <c r="A3" s="18" t="str">
        <f>+'Sommaire assurance de personne'!A3</f>
        <v>Monsieur A</v>
      </c>
      <c r="B3" s="19"/>
      <c r="C3" s="134" t="s">
        <v>135</v>
      </c>
      <c r="D3" s="20">
        <v>4300</v>
      </c>
      <c r="E3" s="21">
        <v>121</v>
      </c>
    </row>
    <row r="4" spans="1:5" ht="25.5" customHeight="1" x14ac:dyDescent="0.2">
      <c r="A4" s="18"/>
      <c r="B4" s="19"/>
      <c r="C4" s="134"/>
      <c r="D4" s="20"/>
      <c r="E4" s="21"/>
    </row>
    <row r="5" spans="1:5" ht="25.5" customHeight="1" x14ac:dyDescent="0.2">
      <c r="A5" s="18"/>
      <c r="B5" s="19" t="s">
        <v>124</v>
      </c>
      <c r="C5" s="134" t="s">
        <v>136</v>
      </c>
      <c r="D5" s="20">
        <v>4600</v>
      </c>
      <c r="E5" s="21">
        <v>75.75</v>
      </c>
    </row>
    <row r="6" spans="1:5" ht="15" x14ac:dyDescent="0.2">
      <c r="A6" s="18"/>
      <c r="B6" s="19"/>
      <c r="C6" s="134"/>
      <c r="D6" s="20"/>
      <c r="E6" s="21"/>
    </row>
    <row r="7" spans="1:5" ht="25.5" customHeight="1" x14ac:dyDescent="0.2">
      <c r="A7" s="18"/>
      <c r="B7" s="19"/>
      <c r="C7" s="134"/>
      <c r="D7" s="20"/>
      <c r="E7" s="21"/>
    </row>
    <row r="8" spans="1:5" ht="25.5" customHeight="1" x14ac:dyDescent="0.2">
      <c r="A8" s="18"/>
      <c r="B8" s="19" t="s">
        <v>124</v>
      </c>
      <c r="C8" s="134" t="s">
        <v>137</v>
      </c>
      <c r="D8" s="20">
        <v>2000</v>
      </c>
      <c r="E8" s="135">
        <v>161.96</v>
      </c>
    </row>
    <row r="9" spans="1:5" ht="15" x14ac:dyDescent="0.2">
      <c r="A9" s="18"/>
      <c r="B9" s="19"/>
      <c r="C9" s="134"/>
      <c r="D9" s="20"/>
      <c r="E9" s="21"/>
    </row>
    <row r="10" spans="1:5" ht="25.5" customHeight="1" x14ac:dyDescent="0.2">
      <c r="A10" s="18"/>
      <c r="B10" s="19" t="s">
        <v>123</v>
      </c>
      <c r="C10" s="22" t="s">
        <v>138</v>
      </c>
      <c r="D10" s="20">
        <v>2000</v>
      </c>
      <c r="E10" s="21">
        <v>137.94999999999999</v>
      </c>
    </row>
    <row r="11" spans="1:5" ht="15" x14ac:dyDescent="0.2">
      <c r="A11" s="18"/>
      <c r="B11" s="19"/>
      <c r="C11" s="22"/>
      <c r="D11" s="20"/>
      <c r="E11" s="21"/>
    </row>
    <row r="12" spans="1:5" ht="25.5" customHeight="1" x14ac:dyDescent="0.2">
      <c r="A12" s="18"/>
      <c r="B12" s="19" t="s">
        <v>123</v>
      </c>
      <c r="C12" s="22" t="s">
        <v>139</v>
      </c>
      <c r="D12" s="20">
        <v>2000</v>
      </c>
      <c r="E12" s="21">
        <v>149.72</v>
      </c>
    </row>
    <row r="13" spans="1:5" ht="15" x14ac:dyDescent="0.2">
      <c r="A13" s="18"/>
      <c r="B13" s="19"/>
      <c r="C13" s="22"/>
      <c r="D13" s="20"/>
      <c r="E13" s="21"/>
    </row>
    <row r="14" spans="1:5" ht="25.5" customHeight="1" x14ac:dyDescent="0.2">
      <c r="A14" s="19"/>
      <c r="B14" s="19" t="s">
        <v>123</v>
      </c>
      <c r="C14" s="22" t="s">
        <v>140</v>
      </c>
      <c r="D14" s="20">
        <v>2000</v>
      </c>
      <c r="E14" s="135">
        <v>132.01</v>
      </c>
    </row>
    <row r="15" spans="1:5" ht="25.5" customHeight="1" x14ac:dyDescent="0.2">
      <c r="A15" s="19"/>
      <c r="B15" s="19" t="s">
        <v>141</v>
      </c>
      <c r="C15" s="22" t="s">
        <v>142</v>
      </c>
      <c r="D15" s="20"/>
      <c r="E15" s="135">
        <v>30</v>
      </c>
    </row>
    <row r="16" spans="1:5" ht="15" x14ac:dyDescent="0.2">
      <c r="E16" s="136">
        <f>+E14+E15</f>
        <v>162.01</v>
      </c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40DB-9A92-47AD-B3AE-A382C47446E7}">
  <sheetPr codeName="Feuil15">
    <tabColor rgb="FF92D050"/>
  </sheetPr>
  <dimension ref="A1:X131"/>
  <sheetViews>
    <sheetView zoomScaleNormal="100" workbookViewId="0">
      <selection activeCell="C9" sqref="C9"/>
    </sheetView>
  </sheetViews>
  <sheetFormatPr baseColWidth="10" defaultColWidth="0" defaultRowHeight="0" customHeight="1" zeroHeight="1" x14ac:dyDescent="0.2"/>
  <cols>
    <col min="1" max="1" width="38.796875" style="653" customWidth="1"/>
    <col min="2" max="2" width="24" style="653" customWidth="1"/>
    <col min="3" max="3" width="47" style="653" customWidth="1"/>
    <col min="4" max="4" width="7.59765625" style="653" customWidth="1"/>
    <col min="5" max="24" width="6.59765625" style="653" hidden="1" customWidth="1"/>
    <col min="25" max="16384" width="11.3984375" style="653" hidden="1"/>
  </cols>
  <sheetData>
    <row r="1" spans="1:4" ht="18.75" customHeight="1" x14ac:dyDescent="0.2">
      <c r="A1" s="808" t="s">
        <v>493</v>
      </c>
      <c r="B1" s="808"/>
      <c r="C1" s="808"/>
      <c r="D1" s="652"/>
    </row>
    <row r="2" spans="1:4" ht="16" x14ac:dyDescent="0.2">
      <c r="A2" s="809"/>
      <c r="B2" s="809"/>
      <c r="C2" s="809"/>
      <c r="D2" s="654"/>
    </row>
    <row r="3" spans="1:4" s="656" customFormat="1" ht="16" x14ac:dyDescent="0.2">
      <c r="A3" s="810" t="s">
        <v>494</v>
      </c>
      <c r="B3" s="811"/>
      <c r="C3" s="812"/>
      <c r="D3" s="655"/>
    </row>
    <row r="4" spans="1:4" s="656" customFormat="1" ht="16" x14ac:dyDescent="0.2">
      <c r="A4" s="813" t="s">
        <v>495</v>
      </c>
      <c r="B4" s="814"/>
      <c r="C4" s="815"/>
      <c r="D4" s="655"/>
    </row>
    <row r="5" spans="1:4" s="656" customFormat="1" ht="31.5" customHeight="1" x14ac:dyDescent="0.2">
      <c r="A5" s="816" t="s">
        <v>496</v>
      </c>
      <c r="B5" s="817"/>
      <c r="C5" s="818"/>
      <c r="D5" s="655"/>
    </row>
    <row r="6" spans="1:4" s="656" customFormat="1" ht="31.5" customHeight="1" x14ac:dyDescent="0.2">
      <c r="A6" s="813" t="s">
        <v>497</v>
      </c>
      <c r="B6" s="814"/>
      <c r="C6" s="815"/>
      <c r="D6" s="655"/>
    </row>
    <row r="7" spans="1:4" s="656" customFormat="1" ht="16" x14ac:dyDescent="0.2">
      <c r="A7" s="805" t="s">
        <v>498</v>
      </c>
      <c r="B7" s="806"/>
      <c r="C7" s="807"/>
      <c r="D7" s="655"/>
    </row>
    <row r="8" spans="1:4" ht="27" customHeight="1" thickBot="1" x14ac:dyDescent="0.25">
      <c r="A8" s="654"/>
      <c r="B8" s="654"/>
      <c r="C8" s="654"/>
      <c r="D8" s="654"/>
    </row>
    <row r="9" spans="1:4" ht="76.5" customHeight="1" thickBot="1" x14ac:dyDescent="0.25">
      <c r="A9" s="657" t="s">
        <v>499</v>
      </c>
      <c r="B9" s="658">
        <v>1000000</v>
      </c>
      <c r="C9" s="659" t="s">
        <v>500</v>
      </c>
      <c r="D9" s="654"/>
    </row>
    <row r="10" spans="1:4" ht="76.5" customHeight="1" thickBot="1" x14ac:dyDescent="0.25">
      <c r="A10" s="660" t="s">
        <v>501</v>
      </c>
      <c r="B10" s="661" t="s">
        <v>502</v>
      </c>
      <c r="C10" s="659" t="s">
        <v>503</v>
      </c>
      <c r="D10" s="654"/>
    </row>
    <row r="11" spans="1:4" ht="76.5" customHeight="1" thickBot="1" x14ac:dyDescent="0.25">
      <c r="A11" s="662" t="s">
        <v>504</v>
      </c>
      <c r="B11" s="661" t="s">
        <v>502</v>
      </c>
      <c r="C11" s="659" t="s">
        <v>505</v>
      </c>
      <c r="D11" s="654"/>
    </row>
    <row r="12" spans="1:4" ht="27" customHeight="1" x14ac:dyDescent="0.2">
      <c r="A12" s="654"/>
      <c r="B12" s="654"/>
      <c r="C12" s="654"/>
      <c r="D12" s="654"/>
    </row>
    <row r="13" spans="1:4" ht="31.5" customHeight="1" x14ac:dyDescent="0.2">
      <c r="A13" s="799" t="s">
        <v>506</v>
      </c>
      <c r="B13" s="800"/>
      <c r="C13" s="801"/>
      <c r="D13" s="654"/>
    </row>
    <row r="14" spans="1:4" ht="16" x14ac:dyDescent="0.2">
      <c r="A14" s="790" t="s">
        <v>507</v>
      </c>
      <c r="B14" s="791"/>
      <c r="C14" s="792"/>
      <c r="D14" s="654"/>
    </row>
    <row r="15" spans="1:4" ht="16" x14ac:dyDescent="0.2">
      <c r="A15" s="793" t="s">
        <v>508</v>
      </c>
      <c r="B15" s="794"/>
      <c r="C15" s="795"/>
      <c r="D15" s="654"/>
    </row>
    <row r="16" spans="1:4" ht="16" x14ac:dyDescent="0.2">
      <c r="A16" s="790" t="s">
        <v>509</v>
      </c>
      <c r="B16" s="791"/>
      <c r="C16" s="792"/>
      <c r="D16" s="654"/>
    </row>
    <row r="17" spans="1:4" ht="16" x14ac:dyDescent="0.2">
      <c r="A17" s="802" t="s">
        <v>510</v>
      </c>
      <c r="B17" s="803"/>
      <c r="C17" s="804"/>
      <c r="D17" s="654"/>
    </row>
    <row r="18" spans="1:4" ht="26.25" customHeight="1" x14ac:dyDescent="0.2">
      <c r="A18" s="654"/>
      <c r="B18" s="654"/>
      <c r="C18" s="654"/>
      <c r="D18" s="654"/>
    </row>
    <row r="19" spans="1:4" ht="21.75" customHeight="1" x14ac:dyDescent="0.2">
      <c r="A19" s="799" t="s">
        <v>511</v>
      </c>
      <c r="B19" s="800"/>
      <c r="C19" s="801"/>
      <c r="D19" s="654"/>
    </row>
    <row r="20" spans="1:4" ht="16" x14ac:dyDescent="0.2">
      <c r="A20" s="790" t="s">
        <v>512</v>
      </c>
      <c r="B20" s="791"/>
      <c r="C20" s="792"/>
      <c r="D20" s="654"/>
    </row>
    <row r="21" spans="1:4" ht="16" x14ac:dyDescent="0.2">
      <c r="A21" s="793" t="s">
        <v>513</v>
      </c>
      <c r="B21" s="794"/>
      <c r="C21" s="795"/>
      <c r="D21" s="654"/>
    </row>
    <row r="22" spans="1:4" ht="16" x14ac:dyDescent="0.2">
      <c r="A22" s="796" t="s">
        <v>514</v>
      </c>
      <c r="B22" s="797"/>
      <c r="C22" s="798"/>
      <c r="D22" s="654"/>
    </row>
    <row r="23" spans="1:4" ht="26.25" customHeight="1" x14ac:dyDescent="0.2">
      <c r="A23" s="654"/>
      <c r="B23" s="654"/>
      <c r="C23" s="654"/>
      <c r="D23" s="654"/>
    </row>
    <row r="24" spans="1:4" ht="26.25" hidden="1" customHeight="1" x14ac:dyDescent="0.2"/>
    <row r="25" spans="1:4" ht="26.25" hidden="1" customHeight="1" x14ac:dyDescent="0.2"/>
    <row r="26" spans="1:4" ht="26.25" hidden="1" customHeight="1" x14ac:dyDescent="0.2"/>
    <row r="27" spans="1:4" ht="26.25" hidden="1" customHeight="1" x14ac:dyDescent="0.2"/>
    <row r="28" spans="1:4" ht="26.25" hidden="1" customHeight="1" x14ac:dyDescent="0.2"/>
    <row r="29" spans="1:4" ht="26.25" hidden="1" customHeight="1" x14ac:dyDescent="0.2"/>
    <row r="30" spans="1:4" ht="26.25" hidden="1" customHeight="1" x14ac:dyDescent="0.2"/>
    <row r="31" spans="1:4" ht="26.25" hidden="1" customHeight="1" x14ac:dyDescent="0.2"/>
    <row r="32" spans="1:4" ht="26.25" hidden="1" customHeight="1" x14ac:dyDescent="0.2"/>
    <row r="33" ht="26.25" hidden="1" customHeight="1" x14ac:dyDescent="0.2"/>
    <row r="34" ht="26.25" hidden="1" customHeight="1" x14ac:dyDescent="0.2"/>
    <row r="35" ht="26.25" hidden="1" customHeight="1" x14ac:dyDescent="0.2"/>
    <row r="36" ht="26.25" hidden="1" customHeight="1" x14ac:dyDescent="0.2"/>
    <row r="37" ht="26.25" hidden="1" customHeight="1" x14ac:dyDescent="0.2"/>
    <row r="38" ht="26.25" hidden="1" customHeight="1" x14ac:dyDescent="0.2"/>
    <row r="39" ht="26.25" hidden="1" customHeight="1" x14ac:dyDescent="0.2"/>
    <row r="40" ht="26.25" hidden="1" customHeight="1" x14ac:dyDescent="0.2"/>
    <row r="41" ht="26.25" hidden="1" customHeight="1" x14ac:dyDescent="0.2"/>
    <row r="42" ht="26.25" hidden="1" customHeight="1" x14ac:dyDescent="0.2"/>
    <row r="43" ht="26.25" hidden="1" customHeight="1" x14ac:dyDescent="0.2"/>
    <row r="44" ht="26.25" hidden="1" customHeight="1" x14ac:dyDescent="0.2"/>
    <row r="45" ht="26.25" hidden="1" customHeight="1" x14ac:dyDescent="0.2"/>
    <row r="46" ht="26.25" hidden="1" customHeight="1" x14ac:dyDescent="0.2"/>
    <row r="47" ht="26.25" hidden="1" customHeight="1" x14ac:dyDescent="0.2"/>
    <row r="48" ht="26.25" hidden="1" customHeight="1" x14ac:dyDescent="0.2"/>
    <row r="49" ht="26.25" hidden="1" customHeight="1" x14ac:dyDescent="0.2"/>
    <row r="50" ht="26.25" hidden="1" customHeight="1" x14ac:dyDescent="0.2"/>
    <row r="51" ht="26.25" hidden="1" customHeight="1" x14ac:dyDescent="0.2"/>
    <row r="52" ht="26.25" hidden="1" customHeight="1" x14ac:dyDescent="0.2"/>
    <row r="53" ht="26.25" hidden="1" customHeight="1" x14ac:dyDescent="0.2"/>
    <row r="54" ht="26.25" hidden="1" customHeight="1" x14ac:dyDescent="0.2"/>
    <row r="55" ht="26.25" hidden="1" customHeight="1" x14ac:dyDescent="0.2"/>
    <row r="56" ht="26.25" hidden="1" customHeight="1" x14ac:dyDescent="0.2"/>
    <row r="57" ht="26.25" hidden="1" customHeight="1" x14ac:dyDescent="0.2"/>
    <row r="58" ht="26.25" hidden="1" customHeight="1" x14ac:dyDescent="0.2"/>
    <row r="59" ht="26.25" hidden="1" customHeight="1" x14ac:dyDescent="0.2"/>
    <row r="60" ht="26.25" hidden="1" customHeight="1" x14ac:dyDescent="0.2"/>
    <row r="61" ht="26.25" hidden="1" customHeight="1" x14ac:dyDescent="0.2"/>
    <row r="62" ht="26.25" hidden="1" customHeight="1" x14ac:dyDescent="0.2"/>
    <row r="63" ht="26.25" hidden="1" customHeight="1" x14ac:dyDescent="0.2"/>
    <row r="64" ht="26.25" hidden="1" customHeight="1" x14ac:dyDescent="0.2"/>
    <row r="65" ht="26.25" hidden="1" customHeight="1" x14ac:dyDescent="0.2"/>
    <row r="66" ht="26.25" hidden="1" customHeight="1" x14ac:dyDescent="0.2"/>
    <row r="67" ht="26.25" hidden="1" customHeight="1" x14ac:dyDescent="0.2"/>
    <row r="68" ht="26.25" hidden="1" customHeight="1" x14ac:dyDescent="0.2"/>
    <row r="69" ht="26.25" hidden="1" customHeight="1" x14ac:dyDescent="0.2"/>
    <row r="70" ht="26.25" hidden="1" customHeight="1" x14ac:dyDescent="0.2"/>
    <row r="71" ht="26.25" hidden="1" customHeight="1" x14ac:dyDescent="0.2"/>
    <row r="72" ht="26.25" hidden="1" customHeight="1" x14ac:dyDescent="0.2"/>
    <row r="73" ht="26.25" hidden="1" customHeight="1" x14ac:dyDescent="0.2"/>
    <row r="74" ht="26.25" hidden="1" customHeight="1" x14ac:dyDescent="0.2"/>
    <row r="75" ht="26.25" hidden="1" customHeight="1" x14ac:dyDescent="0.2"/>
    <row r="76" ht="26.25" hidden="1" customHeight="1" x14ac:dyDescent="0.2"/>
    <row r="77" ht="26.25" hidden="1" customHeight="1" x14ac:dyDescent="0.2"/>
    <row r="78" ht="26.25" hidden="1" customHeight="1" x14ac:dyDescent="0.2"/>
    <row r="79" ht="26.25" hidden="1" customHeight="1" x14ac:dyDescent="0.2"/>
    <row r="80" ht="26.25" hidden="1" customHeight="1" x14ac:dyDescent="0.2"/>
    <row r="81" ht="26.25" hidden="1" customHeight="1" x14ac:dyDescent="0.2"/>
    <row r="82" ht="26.25" hidden="1" customHeight="1" x14ac:dyDescent="0.2"/>
    <row r="83" ht="26.25" hidden="1" customHeight="1" x14ac:dyDescent="0.2"/>
    <row r="84" ht="26.25" hidden="1" customHeight="1" x14ac:dyDescent="0.2"/>
    <row r="85" ht="26.25" hidden="1" customHeight="1" x14ac:dyDescent="0.2"/>
    <row r="86" ht="26.25" hidden="1" customHeight="1" x14ac:dyDescent="0.2"/>
    <row r="87" ht="26.25" hidden="1" customHeight="1" x14ac:dyDescent="0.2"/>
    <row r="88" ht="26.25" hidden="1" customHeight="1" x14ac:dyDescent="0.2"/>
    <row r="89" ht="26.25" hidden="1" customHeight="1" x14ac:dyDescent="0.2"/>
    <row r="90" ht="26.25" hidden="1" customHeight="1" x14ac:dyDescent="0.2"/>
    <row r="91" ht="26.25" hidden="1" customHeight="1" x14ac:dyDescent="0.2"/>
    <row r="92" ht="26.25" hidden="1" customHeight="1" x14ac:dyDescent="0.2"/>
    <row r="93" ht="26.25" hidden="1" customHeight="1" x14ac:dyDescent="0.2"/>
    <row r="94" ht="26.25" hidden="1" customHeight="1" x14ac:dyDescent="0.2"/>
    <row r="95" ht="26.25" hidden="1" customHeight="1" x14ac:dyDescent="0.2"/>
    <row r="96" ht="26.25" hidden="1" customHeight="1" x14ac:dyDescent="0.2"/>
    <row r="97" ht="26.25" hidden="1" customHeight="1" x14ac:dyDescent="0.2"/>
    <row r="98" ht="26.25" hidden="1" customHeight="1" x14ac:dyDescent="0.2"/>
    <row r="99" ht="26.25" hidden="1" customHeight="1" x14ac:dyDescent="0.2"/>
    <row r="100" ht="26.25" hidden="1" customHeight="1" x14ac:dyDescent="0.2"/>
    <row r="101" ht="26.25" hidden="1" customHeight="1" x14ac:dyDescent="0.2"/>
    <row r="102" ht="26.25" hidden="1" customHeight="1" x14ac:dyDescent="0.2"/>
    <row r="103" ht="26.25" hidden="1" customHeight="1" x14ac:dyDescent="0.2"/>
    <row r="104" ht="26.25" hidden="1" customHeight="1" x14ac:dyDescent="0.2"/>
    <row r="105" ht="26.25" hidden="1" customHeight="1" x14ac:dyDescent="0.2"/>
    <row r="106" ht="26.25" hidden="1" customHeight="1" x14ac:dyDescent="0.2"/>
    <row r="107" ht="26.25" hidden="1" customHeight="1" x14ac:dyDescent="0.2"/>
    <row r="108" ht="26.25" hidden="1" customHeight="1" x14ac:dyDescent="0.2"/>
    <row r="109" ht="26.25" hidden="1" customHeight="1" x14ac:dyDescent="0.2"/>
    <row r="110" ht="26.25" hidden="1" customHeight="1" x14ac:dyDescent="0.2"/>
    <row r="111" ht="26.25" hidden="1" customHeight="1" x14ac:dyDescent="0.2"/>
    <row r="112" ht="26.25" hidden="1" customHeight="1" x14ac:dyDescent="0.2"/>
    <row r="113" ht="26.25" hidden="1" customHeight="1" x14ac:dyDescent="0.2"/>
    <row r="114" ht="26.25" hidden="1" customHeight="1" x14ac:dyDescent="0.2"/>
    <row r="115" ht="26.25" hidden="1" customHeight="1" x14ac:dyDescent="0.2"/>
    <row r="116" ht="26.25" hidden="1" customHeight="1" x14ac:dyDescent="0.2"/>
    <row r="117" ht="26.25" hidden="1" customHeight="1" x14ac:dyDescent="0.2"/>
    <row r="118" ht="26.25" hidden="1" customHeight="1" x14ac:dyDescent="0.2"/>
    <row r="119" ht="26.25" hidden="1" customHeight="1" x14ac:dyDescent="0.2"/>
    <row r="120" ht="26.25" hidden="1" customHeight="1" x14ac:dyDescent="0.2"/>
    <row r="121" ht="26.25" hidden="1" customHeight="1" x14ac:dyDescent="0.2"/>
    <row r="122" ht="26.25" hidden="1" customHeight="1" x14ac:dyDescent="0.2"/>
    <row r="123" ht="26.25" hidden="1" customHeight="1" x14ac:dyDescent="0.2"/>
    <row r="124" ht="26.25" hidden="1" customHeight="1" x14ac:dyDescent="0.2"/>
    <row r="125" ht="26.25" hidden="1" customHeight="1" x14ac:dyDescent="0.2"/>
    <row r="126" ht="26.25" hidden="1" customHeight="1" x14ac:dyDescent="0.2"/>
    <row r="127" ht="26.25" hidden="1" customHeight="1" x14ac:dyDescent="0.2"/>
    <row r="128" ht="26.25" hidden="1" customHeight="1" x14ac:dyDescent="0.2"/>
    <row r="129" ht="26.25" hidden="1" customHeight="1" x14ac:dyDescent="0.2"/>
    <row r="130" ht="26.25" hidden="1" customHeight="1" x14ac:dyDescent="0.2"/>
    <row r="131" ht="26.25" hidden="1" customHeight="1" x14ac:dyDescent="0.2"/>
  </sheetData>
  <mergeCells count="15">
    <mergeCell ref="A7:C7"/>
    <mergeCell ref="A1:C2"/>
    <mergeCell ref="A3:C3"/>
    <mergeCell ref="A4:C4"/>
    <mergeCell ref="A5:C5"/>
    <mergeCell ref="A6:C6"/>
    <mergeCell ref="A20:C20"/>
    <mergeCell ref="A21:C21"/>
    <mergeCell ref="A22:C22"/>
    <mergeCell ref="A13:C13"/>
    <mergeCell ref="A14:C14"/>
    <mergeCell ref="A15:C15"/>
    <mergeCell ref="A16:C16"/>
    <mergeCell ref="A17:C17"/>
    <mergeCell ref="A19:C1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926E-8388-4571-BFAC-12CF741FCAB5}">
  <sheetPr codeName="Feuil16">
    <tabColor rgb="FF92D050"/>
  </sheetPr>
  <dimension ref="A1:AO170"/>
  <sheetViews>
    <sheetView topLeftCell="A24" zoomScale="115" zoomScaleNormal="115" workbookViewId="0">
      <selection activeCell="P20" sqref="P20"/>
    </sheetView>
  </sheetViews>
  <sheetFormatPr baseColWidth="10" defaultColWidth="0" defaultRowHeight="15.75" customHeight="1" zeroHeight="1" x14ac:dyDescent="0.2"/>
  <cols>
    <col min="1" max="15" width="7.19921875" style="653" customWidth="1"/>
    <col min="16" max="16" width="7" style="653" customWidth="1"/>
    <col min="17" max="19" width="7.19921875" style="653" customWidth="1"/>
    <col min="20" max="20" width="6.59765625" style="653" customWidth="1"/>
    <col min="21" max="26" width="6.59765625" style="653" hidden="1" customWidth="1"/>
    <col min="27" max="27" width="13" style="653" hidden="1" customWidth="1"/>
    <col min="28" max="41" width="6.59765625" style="653" hidden="1" customWidth="1"/>
    <col min="42" max="16384" width="11.3984375" style="653" hidden="1"/>
  </cols>
  <sheetData>
    <row r="1" spans="1:20" ht="16" x14ac:dyDescent="0.2">
      <c r="A1" s="855"/>
      <c r="B1" s="855"/>
      <c r="C1" s="855"/>
      <c r="D1" s="855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</row>
    <row r="2" spans="1:20" ht="21.75" customHeight="1" x14ac:dyDescent="0.2">
      <c r="A2" s="847" t="s">
        <v>515</v>
      </c>
      <c r="B2" s="847"/>
      <c r="C2" s="847"/>
      <c r="D2" s="847"/>
      <c r="E2" s="847"/>
      <c r="F2" s="847"/>
      <c r="G2" s="847"/>
      <c r="H2" s="847"/>
      <c r="I2" s="663" t="str">
        <f>+B17</f>
        <v>GESCO</v>
      </c>
      <c r="J2" s="663"/>
      <c r="K2" s="654"/>
      <c r="L2" s="654"/>
      <c r="M2" s="654"/>
      <c r="N2" s="654"/>
      <c r="O2" s="654"/>
      <c r="P2" s="654"/>
      <c r="Q2" s="654"/>
      <c r="R2" s="654"/>
      <c r="S2" s="654"/>
      <c r="T2" s="654"/>
    </row>
    <row r="3" spans="1:20" ht="21.75" customHeight="1" x14ac:dyDescent="0.2">
      <c r="A3" s="847" t="s">
        <v>116</v>
      </c>
      <c r="B3" s="847"/>
      <c r="C3" s="847"/>
      <c r="D3" s="847"/>
      <c r="E3" s="847"/>
      <c r="F3" s="847"/>
      <c r="G3" s="847"/>
      <c r="H3" s="847"/>
      <c r="I3" s="663" t="s">
        <v>555</v>
      </c>
      <c r="J3" s="663"/>
      <c r="K3" s="654"/>
      <c r="L3" s="654"/>
      <c r="M3" s="654"/>
      <c r="N3" s="654"/>
      <c r="O3" s="654"/>
      <c r="P3" s="654"/>
      <c r="Q3" s="654"/>
      <c r="R3" s="654"/>
      <c r="S3" s="654"/>
      <c r="T3" s="654"/>
    </row>
    <row r="4" spans="1:20" ht="21.75" customHeight="1" x14ac:dyDescent="0.2">
      <c r="A4" s="847" t="s">
        <v>516</v>
      </c>
      <c r="B4" s="847"/>
      <c r="C4" s="847"/>
      <c r="D4" s="847"/>
      <c r="E4" s="847"/>
      <c r="F4" s="847"/>
      <c r="G4" s="847"/>
      <c r="H4" s="847"/>
      <c r="I4" s="654" t="str">
        <f>+I3</f>
        <v>propriétaire</v>
      </c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</row>
    <row r="5" spans="1:20" ht="21.75" customHeight="1" x14ac:dyDescent="0.2">
      <c r="A5" s="847" t="s">
        <v>517</v>
      </c>
      <c r="B5" s="847"/>
      <c r="C5" s="847"/>
      <c r="D5" s="847"/>
      <c r="E5" s="847"/>
      <c r="F5" s="847"/>
      <c r="G5" s="847"/>
      <c r="H5" s="847"/>
      <c r="I5" s="654" t="str">
        <f>+I2</f>
        <v>GESCO</v>
      </c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</row>
    <row r="6" spans="1:20" ht="21.75" customHeight="1" x14ac:dyDescent="0.2">
      <c r="A6" s="847" t="s">
        <v>518</v>
      </c>
      <c r="B6" s="847"/>
      <c r="C6" s="847"/>
      <c r="D6" s="847"/>
      <c r="E6" s="847"/>
      <c r="F6" s="847"/>
      <c r="G6" s="847"/>
      <c r="H6" s="847"/>
      <c r="I6" s="654" t="str">
        <f>+I2</f>
        <v>GESCO</v>
      </c>
      <c r="J6" s="654"/>
      <c r="K6" s="654"/>
      <c r="L6" s="654"/>
      <c r="M6" s="654"/>
      <c r="N6" s="654"/>
      <c r="O6" s="654"/>
      <c r="P6" s="654"/>
      <c r="Q6" s="654"/>
      <c r="R6" s="654"/>
      <c r="S6" s="654"/>
      <c r="T6" s="654"/>
    </row>
    <row r="7" spans="1:20" ht="21.75" customHeight="1" x14ac:dyDescent="0.2">
      <c r="A7" s="847" t="s">
        <v>519</v>
      </c>
      <c r="B7" s="847"/>
      <c r="C7" s="847"/>
      <c r="D7" s="847"/>
      <c r="E7" s="847"/>
      <c r="F7" s="847"/>
      <c r="G7" s="847"/>
      <c r="H7" s="847"/>
      <c r="I7" s="654" t="str">
        <f>+I4</f>
        <v>propriétaire</v>
      </c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</row>
    <row r="8" spans="1:20" ht="27.75" customHeight="1" thickBot="1" x14ac:dyDescent="0.25">
      <c r="A8" s="847" t="s">
        <v>520</v>
      </c>
      <c r="B8" s="847"/>
      <c r="C8" s="847"/>
      <c r="D8" s="847"/>
      <c r="E8" s="847"/>
      <c r="F8" s="847"/>
      <c r="G8" s="847"/>
      <c r="H8" s="847"/>
      <c r="I8" s="664">
        <v>0.5</v>
      </c>
      <c r="J8" s="664"/>
      <c r="K8" s="654"/>
      <c r="L8" s="654"/>
      <c r="M8" s="654"/>
      <c r="N8" s="654"/>
      <c r="O8" s="654"/>
      <c r="P8" s="654"/>
      <c r="Q8" s="654"/>
      <c r="R8" s="654"/>
      <c r="S8" s="654"/>
      <c r="T8" s="654"/>
    </row>
    <row r="9" spans="1:20" ht="53.25" customHeight="1" thickBot="1" x14ac:dyDescent="0.25">
      <c r="A9" s="848" t="s">
        <v>521</v>
      </c>
      <c r="B9" s="849"/>
      <c r="C9" s="849"/>
      <c r="D9" s="849"/>
      <c r="E9" s="849"/>
      <c r="F9" s="849"/>
      <c r="G9" s="849"/>
      <c r="H9" s="849"/>
      <c r="I9" s="849"/>
      <c r="J9" s="849"/>
      <c r="K9" s="849"/>
      <c r="L9" s="849"/>
      <c r="M9" s="849"/>
      <c r="N9" s="849"/>
      <c r="O9" s="849"/>
      <c r="P9" s="849"/>
      <c r="Q9" s="849"/>
      <c r="R9" s="849"/>
      <c r="S9" s="850"/>
      <c r="T9" s="654"/>
    </row>
    <row r="10" spans="1:20" ht="27" customHeight="1" x14ac:dyDescent="0.2">
      <c r="A10" s="665"/>
      <c r="B10" s="666"/>
      <c r="C10" s="666"/>
      <c r="D10" s="666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7"/>
      <c r="T10" s="654"/>
    </row>
    <row r="11" spans="1:20" ht="53.25" customHeight="1" x14ac:dyDescent="0.2">
      <c r="A11" s="668"/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70"/>
      <c r="T11" s="654"/>
    </row>
    <row r="12" spans="1:20" ht="25.5" customHeight="1" x14ac:dyDescent="0.2">
      <c r="A12" s="668"/>
      <c r="B12" s="851" t="s">
        <v>522</v>
      </c>
      <c r="C12" s="851"/>
      <c r="D12" s="851"/>
      <c r="E12" s="851"/>
      <c r="F12" s="654"/>
      <c r="G12" s="852" t="s">
        <v>523</v>
      </c>
      <c r="H12" s="852"/>
      <c r="I12" s="852"/>
      <c r="J12" s="852"/>
      <c r="K12" s="852"/>
      <c r="L12" s="852"/>
      <c r="M12" s="852"/>
      <c r="N12" s="654"/>
      <c r="O12" s="851" t="s">
        <v>524</v>
      </c>
      <c r="P12" s="851"/>
      <c r="Q12" s="851"/>
      <c r="R12" s="851"/>
      <c r="S12" s="670"/>
      <c r="T12" s="654"/>
    </row>
    <row r="13" spans="1:20" ht="25.5" customHeight="1" x14ac:dyDescent="0.2">
      <c r="A13" s="668"/>
      <c r="C13" s="853">
        <f>+'AMG propriété partagé analyse'!F4+'AMG propriété partagé analyse'!J4</f>
        <v>10355</v>
      </c>
      <c r="D13" s="853"/>
      <c r="E13" s="671"/>
      <c r="F13" s="672"/>
      <c r="G13" s="672"/>
      <c r="H13" s="673"/>
      <c r="I13" s="853">
        <f>+C13+P13</f>
        <v>15065</v>
      </c>
      <c r="J13" s="853"/>
      <c r="K13" s="853"/>
      <c r="L13" s="671"/>
      <c r="M13" s="672"/>
      <c r="N13" s="672"/>
      <c r="O13" s="673"/>
      <c r="P13" s="853">
        <f>+'AMG propriété partagé analyse'!K4</f>
        <v>4710</v>
      </c>
      <c r="Q13" s="853"/>
      <c r="R13" s="674"/>
      <c r="S13" s="670"/>
      <c r="T13" s="654"/>
    </row>
    <row r="14" spans="1:20" ht="26.25" customHeight="1" x14ac:dyDescent="0.2">
      <c r="A14" s="668"/>
      <c r="B14" s="854">
        <f>+C13/I13</f>
        <v>0.68735479588450055</v>
      </c>
      <c r="C14" s="854"/>
      <c r="D14" s="854"/>
      <c r="E14" s="854"/>
      <c r="F14" s="654"/>
      <c r="G14" s="654"/>
      <c r="H14" s="654"/>
      <c r="I14" s="654"/>
      <c r="J14" s="654"/>
      <c r="K14" s="654"/>
      <c r="L14" s="654"/>
      <c r="M14" s="654"/>
      <c r="N14" s="654"/>
      <c r="O14" s="854">
        <f>+P13/I13</f>
        <v>0.31264520411549951</v>
      </c>
      <c r="P14" s="854"/>
      <c r="Q14" s="854"/>
      <c r="R14" s="854"/>
      <c r="S14" s="670"/>
      <c r="T14" s="654"/>
    </row>
    <row r="15" spans="1:20" ht="26.25" customHeight="1" x14ac:dyDescent="0.2">
      <c r="A15" s="668"/>
      <c r="B15" s="675"/>
      <c r="C15" s="675"/>
      <c r="D15" s="675"/>
      <c r="E15" s="675"/>
      <c r="F15" s="654"/>
      <c r="G15" s="654"/>
      <c r="H15" s="654"/>
      <c r="I15" s="654"/>
      <c r="J15" s="654"/>
      <c r="K15" s="654"/>
      <c r="L15" s="654"/>
      <c r="M15" s="654"/>
      <c r="N15" s="654"/>
      <c r="O15" s="675"/>
      <c r="P15" s="675"/>
      <c r="Q15" s="675"/>
      <c r="R15" s="675"/>
      <c r="S15" s="670"/>
      <c r="T15" s="654"/>
    </row>
    <row r="16" spans="1:20" ht="26.25" customHeight="1" thickBot="1" x14ac:dyDescent="0.25">
      <c r="A16" s="668"/>
      <c r="B16" s="654"/>
      <c r="C16" s="654"/>
      <c r="D16" s="654"/>
      <c r="E16" s="654"/>
      <c r="F16" s="654"/>
      <c r="G16" s="846" t="s">
        <v>525</v>
      </c>
      <c r="H16" s="846"/>
      <c r="I16" s="846"/>
      <c r="J16" s="846"/>
      <c r="K16" s="846"/>
      <c r="L16" s="846"/>
      <c r="M16" s="846"/>
      <c r="N16" s="654"/>
      <c r="O16" s="654"/>
      <c r="P16" s="654"/>
      <c r="Q16" s="654"/>
      <c r="R16" s="654"/>
      <c r="S16" s="670"/>
      <c r="T16" s="654"/>
    </row>
    <row r="17" spans="1:27" ht="26.25" customHeight="1" thickBot="1" x14ac:dyDescent="0.25">
      <c r="A17" s="668"/>
      <c r="B17" s="835" t="s">
        <v>526</v>
      </c>
      <c r="C17" s="836"/>
      <c r="D17" s="836"/>
      <c r="E17" s="837"/>
      <c r="F17" s="654"/>
      <c r="G17" s="676"/>
      <c r="H17" s="838" t="s">
        <v>527</v>
      </c>
      <c r="I17" s="838"/>
      <c r="J17" s="838"/>
      <c r="K17" s="838"/>
      <c r="L17" s="838"/>
      <c r="M17" s="676"/>
      <c r="N17" s="654"/>
      <c r="O17" s="840" t="str">
        <f>+I3</f>
        <v>propriétaire</v>
      </c>
      <c r="P17" s="841"/>
      <c r="Q17" s="841"/>
      <c r="R17" s="842"/>
      <c r="S17" s="670"/>
      <c r="T17" s="654"/>
      <c r="AA17" s="677"/>
    </row>
    <row r="18" spans="1:27" ht="26.25" customHeight="1" thickBot="1" x14ac:dyDescent="0.25">
      <c r="A18" s="668"/>
      <c r="B18" s="654"/>
      <c r="C18" s="654"/>
      <c r="D18" s="654"/>
      <c r="E18" s="654"/>
      <c r="F18" s="654"/>
      <c r="G18" s="678"/>
      <c r="H18" s="839"/>
      <c r="I18" s="839"/>
      <c r="J18" s="839"/>
      <c r="K18" s="839"/>
      <c r="L18" s="839"/>
      <c r="M18" s="678"/>
      <c r="N18" s="654"/>
      <c r="O18" s="654"/>
      <c r="P18" s="654"/>
      <c r="Q18" s="654"/>
      <c r="R18" s="654"/>
      <c r="S18" s="670"/>
      <c r="T18" s="654"/>
      <c r="AA18" s="677"/>
    </row>
    <row r="19" spans="1:27" ht="26.25" customHeight="1" x14ac:dyDescent="0.2">
      <c r="A19" s="668"/>
      <c r="B19" s="654"/>
      <c r="C19" s="654"/>
      <c r="D19" s="654"/>
      <c r="E19" s="654"/>
      <c r="F19" s="654"/>
      <c r="G19" s="824" t="s">
        <v>528</v>
      </c>
      <c r="H19" s="825"/>
      <c r="I19" s="825"/>
      <c r="J19" s="825"/>
      <c r="K19" s="825"/>
      <c r="L19" s="825"/>
      <c r="M19" s="826"/>
      <c r="N19" s="654"/>
      <c r="O19" s="654"/>
      <c r="P19" s="654"/>
      <c r="Q19" s="654"/>
      <c r="R19" s="654"/>
      <c r="S19" s="670"/>
      <c r="T19" s="654"/>
    </row>
    <row r="20" spans="1:27" ht="26.25" customHeight="1" thickBot="1" x14ac:dyDescent="0.25">
      <c r="A20" s="668"/>
      <c r="B20" s="654"/>
      <c r="C20" s="654"/>
      <c r="D20" s="654"/>
      <c r="E20" s="654"/>
      <c r="F20" s="654"/>
      <c r="G20" s="843">
        <v>1000000</v>
      </c>
      <c r="H20" s="844"/>
      <c r="I20" s="844"/>
      <c r="J20" s="844"/>
      <c r="K20" s="844"/>
      <c r="L20" s="844"/>
      <c r="M20" s="845"/>
      <c r="N20" s="654"/>
      <c r="O20" s="654"/>
      <c r="P20" s="654"/>
      <c r="Q20" s="654"/>
      <c r="R20" s="654"/>
      <c r="S20" s="670"/>
      <c r="T20" s="654"/>
    </row>
    <row r="21" spans="1:27" ht="26.25" customHeight="1" x14ac:dyDescent="0.2">
      <c r="A21" s="668"/>
      <c r="B21" s="654"/>
      <c r="C21" s="654"/>
      <c r="D21" s="654"/>
      <c r="E21" s="654"/>
      <c r="F21" s="654"/>
      <c r="G21" s="824" t="s">
        <v>529</v>
      </c>
      <c r="H21" s="825"/>
      <c r="I21" s="825"/>
      <c r="J21" s="825"/>
      <c r="K21" s="825"/>
      <c r="L21" s="825"/>
      <c r="M21" s="826"/>
      <c r="N21" s="654"/>
      <c r="O21" s="654"/>
      <c r="P21" s="654"/>
      <c r="Q21" s="654"/>
      <c r="R21" s="654"/>
      <c r="S21" s="670"/>
      <c r="T21" s="654"/>
    </row>
    <row r="22" spans="1:27" ht="26.25" customHeight="1" thickBot="1" x14ac:dyDescent="0.25">
      <c r="A22" s="668"/>
      <c r="B22" s="654"/>
      <c r="C22" s="654"/>
      <c r="D22" s="654"/>
      <c r="E22" s="654"/>
      <c r="F22" s="654"/>
      <c r="G22" s="843">
        <f>+I13*15</f>
        <v>225975</v>
      </c>
      <c r="H22" s="844"/>
      <c r="I22" s="844"/>
      <c r="J22" s="844"/>
      <c r="K22" s="844"/>
      <c r="L22" s="844"/>
      <c r="M22" s="845"/>
      <c r="N22" s="654"/>
      <c r="O22" s="654"/>
      <c r="P22" s="654"/>
      <c r="Q22" s="654"/>
      <c r="R22" s="654"/>
      <c r="S22" s="670"/>
      <c r="T22" s="654"/>
    </row>
    <row r="23" spans="1:27" ht="26.25" customHeight="1" x14ac:dyDescent="0.2">
      <c r="A23" s="668"/>
      <c r="B23" s="654"/>
      <c r="C23" s="654"/>
      <c r="D23" s="654"/>
      <c r="E23" s="654"/>
      <c r="F23" s="654"/>
      <c r="G23" s="824" t="s">
        <v>530</v>
      </c>
      <c r="H23" s="825"/>
      <c r="I23" s="825"/>
      <c r="J23" s="825"/>
      <c r="K23" s="825"/>
      <c r="L23" s="825"/>
      <c r="M23" s="826"/>
      <c r="N23" s="654"/>
      <c r="O23" s="654"/>
      <c r="P23" s="654"/>
      <c r="Q23" s="654"/>
      <c r="R23" s="654"/>
      <c r="S23" s="670"/>
      <c r="T23" s="654"/>
    </row>
    <row r="24" spans="1:27" ht="26.25" customHeight="1" x14ac:dyDescent="0.2">
      <c r="A24" s="668"/>
      <c r="B24" s="654"/>
      <c r="C24" s="654"/>
      <c r="D24" s="654"/>
      <c r="E24" s="654"/>
      <c r="F24" s="654"/>
      <c r="G24" s="827">
        <f>+I13*15</f>
        <v>225975</v>
      </c>
      <c r="H24" s="828"/>
      <c r="I24" s="828"/>
      <c r="J24" s="828"/>
      <c r="K24" s="828"/>
      <c r="L24" s="828"/>
      <c r="M24" s="829"/>
      <c r="N24" s="654"/>
      <c r="O24" s="654"/>
      <c r="P24" s="654"/>
      <c r="Q24" s="654"/>
      <c r="R24" s="654"/>
      <c r="S24" s="670"/>
      <c r="T24" s="654"/>
    </row>
    <row r="25" spans="1:27" ht="26.25" customHeight="1" x14ac:dyDescent="0.2">
      <c r="A25" s="668"/>
      <c r="B25" s="654"/>
      <c r="C25" s="654"/>
      <c r="D25" s="654"/>
      <c r="E25" s="654"/>
      <c r="F25" s="654"/>
      <c r="G25" s="830" t="s">
        <v>531</v>
      </c>
      <c r="H25" s="831"/>
      <c r="I25" s="831"/>
      <c r="J25" s="679"/>
      <c r="K25" s="831" t="s">
        <v>532</v>
      </c>
      <c r="L25" s="831"/>
      <c r="M25" s="832"/>
      <c r="N25" s="833" t="s">
        <v>533</v>
      </c>
      <c r="O25" s="834"/>
      <c r="P25" s="834"/>
      <c r="Q25" s="654"/>
      <c r="R25" s="654"/>
      <c r="S25" s="670"/>
      <c r="T25" s="654"/>
    </row>
    <row r="26" spans="1:27" ht="26.25" customHeight="1" thickBot="1" x14ac:dyDescent="0.25">
      <c r="A26" s="668"/>
      <c r="B26" s="654"/>
      <c r="C26" s="654"/>
      <c r="D26" s="654"/>
      <c r="E26" s="654"/>
      <c r="F26" s="654"/>
      <c r="G26" s="819">
        <f>+G24*$B$14</f>
        <v>155325</v>
      </c>
      <c r="H26" s="820"/>
      <c r="I26" s="820"/>
      <c r="J26" s="680"/>
      <c r="K26" s="820">
        <f>+G24*$O$14</f>
        <v>70650</v>
      </c>
      <c r="L26" s="820"/>
      <c r="M26" s="821"/>
      <c r="N26" s="654"/>
      <c r="O26" s="654"/>
      <c r="P26" s="654"/>
      <c r="Q26" s="654"/>
      <c r="R26" s="654"/>
      <c r="S26" s="670"/>
      <c r="T26" s="654"/>
    </row>
    <row r="27" spans="1:27" ht="26.25" customHeight="1" x14ac:dyDescent="0.2">
      <c r="A27" s="668"/>
      <c r="B27" s="654"/>
      <c r="C27" s="654"/>
      <c r="D27" s="654"/>
      <c r="E27" s="654"/>
      <c r="F27" s="654"/>
      <c r="G27" s="824" t="s">
        <v>534</v>
      </c>
      <c r="H27" s="825"/>
      <c r="I27" s="825"/>
      <c r="J27" s="825"/>
      <c r="K27" s="825"/>
      <c r="L27" s="825"/>
      <c r="M27" s="826"/>
      <c r="N27" s="654"/>
      <c r="O27" s="654"/>
      <c r="P27" s="654"/>
      <c r="Q27" s="654"/>
      <c r="R27" s="654"/>
      <c r="S27" s="670"/>
      <c r="T27" s="654"/>
    </row>
    <row r="28" spans="1:27" ht="26.25" customHeight="1" x14ac:dyDescent="0.2">
      <c r="A28" s="668"/>
      <c r="B28" s="654"/>
      <c r="C28" s="654"/>
      <c r="D28" s="654"/>
      <c r="E28" s="654"/>
      <c r="F28" s="654"/>
      <c r="G28" s="827">
        <f>40*I13</f>
        <v>602600</v>
      </c>
      <c r="H28" s="828"/>
      <c r="I28" s="828"/>
      <c r="J28" s="828"/>
      <c r="K28" s="828"/>
      <c r="L28" s="828"/>
      <c r="M28" s="829"/>
      <c r="N28" s="654"/>
      <c r="O28" s="654"/>
      <c r="P28" s="654"/>
      <c r="Q28" s="654"/>
      <c r="R28" s="654"/>
      <c r="S28" s="670"/>
      <c r="T28" s="654"/>
    </row>
    <row r="29" spans="1:27" ht="26.25" customHeight="1" x14ac:dyDescent="0.2">
      <c r="A29" s="668"/>
      <c r="B29" s="654"/>
      <c r="C29" s="654"/>
      <c r="D29" s="654"/>
      <c r="E29" s="654"/>
      <c r="F29" s="654"/>
      <c r="G29" s="830" t="s">
        <v>531</v>
      </c>
      <c r="H29" s="831"/>
      <c r="I29" s="831"/>
      <c r="J29" s="679"/>
      <c r="K29" s="831" t="s">
        <v>532</v>
      </c>
      <c r="L29" s="831"/>
      <c r="M29" s="832"/>
      <c r="N29" s="654"/>
      <c r="O29" s="654"/>
      <c r="P29" s="654"/>
      <c r="Q29" s="654"/>
      <c r="R29" s="654"/>
      <c r="S29" s="670"/>
      <c r="T29" s="654"/>
    </row>
    <row r="30" spans="1:27" ht="26.25" customHeight="1" thickBot="1" x14ac:dyDescent="0.25">
      <c r="A30" s="668"/>
      <c r="B30" s="654"/>
      <c r="C30" s="654"/>
      <c r="D30" s="654"/>
      <c r="E30" s="654"/>
      <c r="F30" s="654"/>
      <c r="G30" s="819">
        <f>+G28*$B$14</f>
        <v>414200.00000000006</v>
      </c>
      <c r="H30" s="820"/>
      <c r="I30" s="820"/>
      <c r="J30" s="680"/>
      <c r="K30" s="820">
        <f>+G28*$O$14</f>
        <v>188400</v>
      </c>
      <c r="L30" s="820"/>
      <c r="M30" s="821"/>
      <c r="N30" s="654"/>
      <c r="O30" s="654"/>
      <c r="P30" s="654"/>
      <c r="Q30" s="654"/>
      <c r="R30" s="654"/>
      <c r="S30" s="670"/>
      <c r="T30" s="654"/>
    </row>
    <row r="31" spans="1:27" ht="26.25" customHeight="1" x14ac:dyDescent="0.2">
      <c r="A31" s="668"/>
      <c r="B31" s="654"/>
      <c r="C31" s="654"/>
      <c r="D31" s="654"/>
      <c r="E31" s="654"/>
      <c r="F31" s="654"/>
      <c r="G31" s="822" t="s">
        <v>535</v>
      </c>
      <c r="H31" s="822"/>
      <c r="I31" s="822"/>
      <c r="J31" s="822"/>
      <c r="K31" s="822"/>
      <c r="L31" s="822"/>
      <c r="M31" s="822"/>
      <c r="N31" s="654"/>
      <c r="O31" s="654"/>
      <c r="P31" s="654"/>
      <c r="Q31" s="654"/>
      <c r="R31" s="654"/>
      <c r="S31" s="670"/>
      <c r="T31" s="654"/>
    </row>
    <row r="32" spans="1:27" ht="26.25" customHeight="1" x14ac:dyDescent="0.2">
      <c r="A32" s="668"/>
      <c r="B32" s="654"/>
      <c r="C32" s="654"/>
      <c r="D32" s="654"/>
      <c r="E32" s="654"/>
      <c r="F32" s="654"/>
      <c r="G32" s="822"/>
      <c r="H32" s="822"/>
      <c r="I32" s="822"/>
      <c r="J32" s="822"/>
      <c r="K32" s="822"/>
      <c r="L32" s="822"/>
      <c r="M32" s="822"/>
      <c r="N32" s="654"/>
      <c r="O32" s="654"/>
      <c r="P32" s="654"/>
      <c r="Q32" s="654"/>
      <c r="R32" s="654"/>
      <c r="S32" s="670"/>
      <c r="T32" s="654"/>
    </row>
    <row r="33" spans="1:20" ht="26.25" customHeight="1" thickBot="1" x14ac:dyDescent="0.25">
      <c r="A33" s="681"/>
      <c r="B33" s="682"/>
      <c r="C33" s="682"/>
      <c r="D33" s="682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O33" s="682"/>
      <c r="P33" s="682"/>
      <c r="Q33" s="682"/>
      <c r="R33" s="682"/>
      <c r="S33" s="683"/>
      <c r="T33" s="654"/>
    </row>
    <row r="34" spans="1:20" ht="26.25" customHeight="1" x14ac:dyDescent="0.2">
      <c r="A34" s="654"/>
      <c r="B34" s="654"/>
      <c r="C34" s="654"/>
      <c r="D34" s="654"/>
      <c r="E34" s="654"/>
      <c r="F34" s="654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</row>
    <row r="35" spans="1:20" ht="26.25" customHeight="1" x14ac:dyDescent="0.2">
      <c r="A35" s="823" t="s">
        <v>536</v>
      </c>
      <c r="B35" s="823"/>
      <c r="C35" s="823"/>
      <c r="D35" s="823"/>
      <c r="E35" s="823"/>
      <c r="F35" s="823"/>
      <c r="G35" s="823"/>
      <c r="H35" s="823"/>
      <c r="I35" s="823"/>
      <c r="J35" s="823"/>
      <c r="K35" s="823"/>
      <c r="L35" s="823"/>
      <c r="M35" s="823"/>
      <c r="N35" s="823"/>
      <c r="O35" s="823"/>
      <c r="P35" s="823"/>
      <c r="Q35" s="823"/>
      <c r="R35" s="823"/>
      <c r="S35" s="823"/>
      <c r="T35" s="654"/>
    </row>
    <row r="36" spans="1:20" ht="26.25" customHeight="1" x14ac:dyDescent="0.2">
      <c r="A36" s="823"/>
      <c r="B36" s="823"/>
      <c r="C36" s="823"/>
      <c r="D36" s="823"/>
      <c r="E36" s="823"/>
      <c r="F36" s="823"/>
      <c r="G36" s="823"/>
      <c r="H36" s="823"/>
      <c r="I36" s="823"/>
      <c r="J36" s="823"/>
      <c r="K36" s="823"/>
      <c r="L36" s="823"/>
      <c r="M36" s="823"/>
      <c r="N36" s="823"/>
      <c r="O36" s="823"/>
      <c r="P36" s="823"/>
      <c r="Q36" s="823"/>
      <c r="R36" s="823"/>
      <c r="S36" s="823"/>
      <c r="T36" s="654"/>
    </row>
    <row r="37" spans="1:20" ht="26.25" hidden="1" customHeight="1" x14ac:dyDescent="0.2"/>
    <row r="38" spans="1:20" ht="26.25" hidden="1" customHeight="1" x14ac:dyDescent="0.2"/>
    <row r="39" spans="1:20" ht="26.25" hidden="1" customHeight="1" x14ac:dyDescent="0.2"/>
    <row r="40" spans="1:20" ht="26.25" hidden="1" customHeight="1" x14ac:dyDescent="0.2"/>
    <row r="41" spans="1:20" ht="26.25" hidden="1" customHeight="1" x14ac:dyDescent="0.2"/>
    <row r="42" spans="1:20" ht="26.25" hidden="1" customHeight="1" x14ac:dyDescent="0.2"/>
    <row r="43" spans="1:20" ht="26.25" hidden="1" customHeight="1" x14ac:dyDescent="0.2"/>
    <row r="44" spans="1:20" ht="26.25" hidden="1" customHeight="1" x14ac:dyDescent="0.2"/>
    <row r="45" spans="1:20" ht="26.25" hidden="1" customHeight="1" x14ac:dyDescent="0.2"/>
    <row r="46" spans="1:20" ht="26.25" hidden="1" customHeight="1" x14ac:dyDescent="0.2"/>
    <row r="47" spans="1:20" ht="26.25" hidden="1" customHeight="1" x14ac:dyDescent="0.2"/>
    <row r="48" spans="1:20" ht="26.25" hidden="1" customHeight="1" x14ac:dyDescent="0.2"/>
    <row r="49" s="653" customFormat="1" ht="26.25" hidden="1" customHeight="1" x14ac:dyDescent="0.2"/>
    <row r="50" s="653" customFormat="1" ht="26.25" hidden="1" customHeight="1" x14ac:dyDescent="0.2"/>
    <row r="51" s="653" customFormat="1" ht="26.25" hidden="1" customHeight="1" x14ac:dyDescent="0.2"/>
    <row r="52" s="653" customFormat="1" ht="26.25" hidden="1" customHeight="1" x14ac:dyDescent="0.2"/>
    <row r="53" s="653" customFormat="1" ht="26.25" hidden="1" customHeight="1" x14ac:dyDescent="0.2"/>
    <row r="54" s="653" customFormat="1" ht="26.25" hidden="1" customHeight="1" x14ac:dyDescent="0.2"/>
    <row r="55" s="653" customFormat="1" ht="26.25" hidden="1" customHeight="1" x14ac:dyDescent="0.2"/>
    <row r="56" s="653" customFormat="1" ht="26.25" hidden="1" customHeight="1" x14ac:dyDescent="0.2"/>
    <row r="57" s="653" customFormat="1" ht="26.25" hidden="1" customHeight="1" x14ac:dyDescent="0.2"/>
    <row r="58" s="653" customFormat="1" ht="26.25" hidden="1" customHeight="1" x14ac:dyDescent="0.2"/>
    <row r="59" s="653" customFormat="1" ht="26.25" hidden="1" customHeight="1" x14ac:dyDescent="0.2"/>
    <row r="60" s="653" customFormat="1" ht="26.25" hidden="1" customHeight="1" x14ac:dyDescent="0.2"/>
    <row r="61" s="653" customFormat="1" ht="26.25" hidden="1" customHeight="1" x14ac:dyDescent="0.2"/>
    <row r="62" s="653" customFormat="1" ht="26.25" hidden="1" customHeight="1" x14ac:dyDescent="0.2"/>
    <row r="63" s="653" customFormat="1" ht="26.25" hidden="1" customHeight="1" x14ac:dyDescent="0.2"/>
    <row r="64" s="653" customFormat="1" ht="26.25" hidden="1" customHeight="1" x14ac:dyDescent="0.2"/>
    <row r="65" s="653" customFormat="1" ht="26.25" hidden="1" customHeight="1" x14ac:dyDescent="0.2"/>
    <row r="66" s="653" customFormat="1" ht="26.25" hidden="1" customHeight="1" x14ac:dyDescent="0.2"/>
    <row r="67" s="653" customFormat="1" ht="26.25" hidden="1" customHeight="1" x14ac:dyDescent="0.2"/>
    <row r="68" s="653" customFormat="1" ht="26.25" hidden="1" customHeight="1" x14ac:dyDescent="0.2"/>
    <row r="69" s="653" customFormat="1" ht="26.25" hidden="1" customHeight="1" x14ac:dyDescent="0.2"/>
    <row r="70" s="653" customFormat="1" ht="26.25" hidden="1" customHeight="1" x14ac:dyDescent="0.2"/>
    <row r="71" s="653" customFormat="1" ht="26.25" hidden="1" customHeight="1" x14ac:dyDescent="0.2"/>
    <row r="72" s="653" customFormat="1" ht="26.25" hidden="1" customHeight="1" x14ac:dyDescent="0.2"/>
    <row r="73" s="653" customFormat="1" ht="26.25" hidden="1" customHeight="1" x14ac:dyDescent="0.2"/>
    <row r="74" ht="26.25" hidden="1" customHeight="1" x14ac:dyDescent="0.2"/>
    <row r="75" ht="26.25" hidden="1" customHeight="1" x14ac:dyDescent="0.2"/>
    <row r="76" ht="26.25" hidden="1" customHeight="1" x14ac:dyDescent="0.2"/>
    <row r="77" ht="26.25" hidden="1" customHeight="1" x14ac:dyDescent="0.2"/>
    <row r="78" ht="26.25" hidden="1" customHeight="1" x14ac:dyDescent="0.2"/>
    <row r="79" ht="26.25" hidden="1" customHeight="1" x14ac:dyDescent="0.2"/>
    <row r="80" ht="26.25" hidden="1" customHeight="1" x14ac:dyDescent="0.2"/>
    <row r="81" ht="26.25" hidden="1" customHeight="1" x14ac:dyDescent="0.2"/>
    <row r="82" ht="26.25" hidden="1" customHeight="1" x14ac:dyDescent="0.2"/>
    <row r="83" ht="26.25" hidden="1" customHeight="1" x14ac:dyDescent="0.2"/>
    <row r="84" ht="26.25" hidden="1" customHeight="1" x14ac:dyDescent="0.2"/>
    <row r="85" ht="26.25" hidden="1" customHeight="1" x14ac:dyDescent="0.2"/>
    <row r="86" ht="26.25" hidden="1" customHeight="1" x14ac:dyDescent="0.2"/>
    <row r="87" ht="26.25" hidden="1" customHeight="1" x14ac:dyDescent="0.2"/>
    <row r="88" ht="26.25" hidden="1" customHeight="1" x14ac:dyDescent="0.2"/>
    <row r="89" ht="26.25" hidden="1" customHeight="1" x14ac:dyDescent="0.2"/>
    <row r="90" ht="26.25" hidden="1" customHeight="1" x14ac:dyDescent="0.2"/>
    <row r="91" ht="26.25" hidden="1" customHeight="1" x14ac:dyDescent="0.2"/>
    <row r="92" ht="26.25" hidden="1" customHeight="1" x14ac:dyDescent="0.2"/>
    <row r="93" ht="26.25" hidden="1" customHeight="1" x14ac:dyDescent="0.2"/>
    <row r="94" ht="26.25" hidden="1" customHeight="1" x14ac:dyDescent="0.2"/>
    <row r="95" ht="26.25" hidden="1" customHeight="1" x14ac:dyDescent="0.2"/>
    <row r="96" ht="26.25" hidden="1" customHeight="1" x14ac:dyDescent="0.2"/>
    <row r="97" ht="26.25" hidden="1" customHeight="1" x14ac:dyDescent="0.2"/>
    <row r="98" ht="26.25" hidden="1" customHeight="1" x14ac:dyDescent="0.2"/>
    <row r="99" ht="26.25" hidden="1" customHeight="1" x14ac:dyDescent="0.2"/>
    <row r="100" ht="26.25" hidden="1" customHeight="1" x14ac:dyDescent="0.2"/>
    <row r="101" ht="26.25" hidden="1" customHeight="1" x14ac:dyDescent="0.2"/>
    <row r="102" ht="26.25" hidden="1" customHeight="1" x14ac:dyDescent="0.2"/>
    <row r="103" ht="26.25" hidden="1" customHeight="1" x14ac:dyDescent="0.2"/>
    <row r="104" ht="26.25" hidden="1" customHeight="1" x14ac:dyDescent="0.2"/>
    <row r="105" ht="26.25" hidden="1" customHeight="1" x14ac:dyDescent="0.2"/>
    <row r="106" ht="26.25" hidden="1" customHeight="1" x14ac:dyDescent="0.2"/>
    <row r="107" ht="26.25" hidden="1" customHeight="1" x14ac:dyDescent="0.2"/>
    <row r="108" ht="26.25" hidden="1" customHeight="1" x14ac:dyDescent="0.2"/>
    <row r="109" ht="26.25" hidden="1" customHeight="1" x14ac:dyDescent="0.2"/>
    <row r="110" ht="26.25" hidden="1" customHeight="1" x14ac:dyDescent="0.2"/>
    <row r="111" ht="26.25" hidden="1" customHeight="1" x14ac:dyDescent="0.2"/>
    <row r="112" ht="26.25" hidden="1" customHeight="1" x14ac:dyDescent="0.2"/>
    <row r="113" ht="26.25" hidden="1" customHeight="1" x14ac:dyDescent="0.2"/>
    <row r="114" ht="26.25" hidden="1" customHeight="1" x14ac:dyDescent="0.2"/>
    <row r="115" ht="26.25" hidden="1" customHeight="1" x14ac:dyDescent="0.2"/>
    <row r="116" ht="26.25" hidden="1" customHeight="1" x14ac:dyDescent="0.2"/>
    <row r="117" ht="26.25" hidden="1" customHeight="1" x14ac:dyDescent="0.2"/>
    <row r="118" ht="26.25" hidden="1" customHeight="1" x14ac:dyDescent="0.2"/>
    <row r="119" ht="26.25" hidden="1" customHeight="1" x14ac:dyDescent="0.2"/>
    <row r="120" ht="26.25" hidden="1" customHeight="1" x14ac:dyDescent="0.2"/>
    <row r="121" ht="26.25" hidden="1" customHeight="1" x14ac:dyDescent="0.2"/>
    <row r="122" ht="26.25" hidden="1" customHeight="1" x14ac:dyDescent="0.2"/>
    <row r="123" ht="26.25" hidden="1" customHeight="1" x14ac:dyDescent="0.2"/>
    <row r="124" ht="26.25" hidden="1" customHeight="1" x14ac:dyDescent="0.2"/>
    <row r="125" ht="26.25" hidden="1" customHeight="1" x14ac:dyDescent="0.2"/>
    <row r="126" ht="26.25" hidden="1" customHeight="1" x14ac:dyDescent="0.2"/>
    <row r="127" ht="26.25" hidden="1" customHeight="1" x14ac:dyDescent="0.2"/>
    <row r="128" ht="26.25" hidden="1" customHeight="1" x14ac:dyDescent="0.2"/>
    <row r="129" ht="26.25" hidden="1" customHeight="1" x14ac:dyDescent="0.2"/>
    <row r="130" ht="26.25" hidden="1" customHeight="1" x14ac:dyDescent="0.2"/>
    <row r="131" ht="26.25" hidden="1" customHeight="1" x14ac:dyDescent="0.2"/>
    <row r="132" ht="26.25" hidden="1" customHeight="1" x14ac:dyDescent="0.2"/>
    <row r="133" ht="26.25" hidden="1" customHeight="1" x14ac:dyDescent="0.2"/>
    <row r="134" ht="26.25" hidden="1" customHeight="1" x14ac:dyDescent="0.2"/>
    <row r="135" ht="26.25" hidden="1" customHeight="1" x14ac:dyDescent="0.2"/>
    <row r="136" ht="26.25" hidden="1" customHeight="1" x14ac:dyDescent="0.2"/>
    <row r="137" ht="26.25" hidden="1" customHeight="1" x14ac:dyDescent="0.2"/>
    <row r="138" ht="26.25" hidden="1" customHeight="1" x14ac:dyDescent="0.2"/>
    <row r="139" ht="26.25" hidden="1" customHeight="1" x14ac:dyDescent="0.2"/>
    <row r="140" ht="26.25" hidden="1" customHeight="1" x14ac:dyDescent="0.2"/>
    <row r="141" ht="26.25" hidden="1" customHeight="1" x14ac:dyDescent="0.2"/>
    <row r="142" ht="26.25" hidden="1" customHeight="1" x14ac:dyDescent="0.2"/>
    <row r="143" ht="26.25" hidden="1" customHeight="1" x14ac:dyDescent="0.2"/>
    <row r="144" ht="26.25" hidden="1" customHeight="1" x14ac:dyDescent="0.2"/>
    <row r="145" ht="26.25" hidden="1" customHeight="1" x14ac:dyDescent="0.2"/>
    <row r="146" ht="26.25" hidden="1" customHeight="1" x14ac:dyDescent="0.2"/>
    <row r="147" ht="26.25" hidden="1" customHeight="1" x14ac:dyDescent="0.2"/>
    <row r="148" ht="26.25" hidden="1" customHeight="1" x14ac:dyDescent="0.2"/>
    <row r="149" ht="26.25" hidden="1" customHeight="1" x14ac:dyDescent="0.2"/>
    <row r="150" ht="26.25" hidden="1" customHeight="1" x14ac:dyDescent="0.2"/>
    <row r="151" ht="26.25" hidden="1" customHeight="1" x14ac:dyDescent="0.2"/>
    <row r="152" ht="26.25" hidden="1" customHeight="1" x14ac:dyDescent="0.2"/>
    <row r="153" ht="26.25" hidden="1" customHeight="1" x14ac:dyDescent="0.2"/>
    <row r="154" ht="26.25" hidden="1" customHeight="1" x14ac:dyDescent="0.2"/>
    <row r="155" ht="26.25" hidden="1" customHeight="1" x14ac:dyDescent="0.2"/>
    <row r="156" ht="26.25" hidden="1" customHeight="1" x14ac:dyDescent="0.2"/>
    <row r="157" ht="26.25" hidden="1" customHeight="1" x14ac:dyDescent="0.2"/>
    <row r="158" ht="26.25" hidden="1" customHeight="1" x14ac:dyDescent="0.2"/>
    <row r="159" ht="26.25" hidden="1" customHeight="1" x14ac:dyDescent="0.2"/>
    <row r="160" ht="26.25" hidden="1" customHeight="1" x14ac:dyDescent="0.2"/>
    <row r="161" ht="26.25" hidden="1" customHeight="1" x14ac:dyDescent="0.2"/>
    <row r="162" ht="26.25" hidden="1" customHeight="1" x14ac:dyDescent="0.2"/>
    <row r="163" ht="26.25" hidden="1" customHeight="1" x14ac:dyDescent="0.2"/>
    <row r="164" ht="26.25" hidden="1" customHeight="1" x14ac:dyDescent="0.2"/>
    <row r="165" ht="26.25" hidden="1" customHeight="1" x14ac:dyDescent="0.2"/>
    <row r="166" ht="26.25" hidden="1" customHeight="1" x14ac:dyDescent="0.2"/>
    <row r="167" ht="26.25" hidden="1" customHeight="1" x14ac:dyDescent="0.2"/>
    <row r="168" ht="26.25" hidden="1" customHeight="1" x14ac:dyDescent="0.2"/>
    <row r="169" ht="26.25" hidden="1" customHeight="1" x14ac:dyDescent="0.2"/>
    <row r="170" ht="26.25" hidden="1" customHeight="1" x14ac:dyDescent="0.2"/>
  </sheetData>
  <mergeCells count="40">
    <mergeCell ref="A6:H6"/>
    <mergeCell ref="A1:D1"/>
    <mergeCell ref="A2:H2"/>
    <mergeCell ref="A3:H3"/>
    <mergeCell ref="A4:H4"/>
    <mergeCell ref="A5:H5"/>
    <mergeCell ref="G16:M16"/>
    <mergeCell ref="A7:H7"/>
    <mergeCell ref="A8:H8"/>
    <mergeCell ref="A9:S9"/>
    <mergeCell ref="B12:E12"/>
    <mergeCell ref="G12:M12"/>
    <mergeCell ref="O12:R12"/>
    <mergeCell ref="C13:D13"/>
    <mergeCell ref="I13:K13"/>
    <mergeCell ref="P13:Q13"/>
    <mergeCell ref="B14:E14"/>
    <mergeCell ref="O14:R14"/>
    <mergeCell ref="N25:P25"/>
    <mergeCell ref="B17:E17"/>
    <mergeCell ref="H17:L18"/>
    <mergeCell ref="O17:R17"/>
    <mergeCell ref="G19:M19"/>
    <mergeCell ref="G20:M20"/>
    <mergeCell ref="G21:M21"/>
    <mergeCell ref="G22:M22"/>
    <mergeCell ref="G23:M23"/>
    <mergeCell ref="G24:M24"/>
    <mergeCell ref="G25:I25"/>
    <mergeCell ref="K25:M25"/>
    <mergeCell ref="G30:I30"/>
    <mergeCell ref="K30:M30"/>
    <mergeCell ref="G31:M32"/>
    <mergeCell ref="A35:S36"/>
    <mergeCell ref="G26:I26"/>
    <mergeCell ref="K26:M26"/>
    <mergeCell ref="G27:M27"/>
    <mergeCell ref="G28:M28"/>
    <mergeCell ref="G29:I29"/>
    <mergeCell ref="K29:M29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B3D4-71FC-4081-B547-3BB0A1CA8B35}">
  <sheetPr codeName="Feuil17">
    <tabColor rgb="FF92D050"/>
  </sheetPr>
  <dimension ref="A1:N17"/>
  <sheetViews>
    <sheetView workbookViewId="0">
      <selection activeCell="D10" sqref="D10"/>
    </sheetView>
  </sheetViews>
  <sheetFormatPr baseColWidth="10" defaultColWidth="10.796875" defaultRowHeight="15" x14ac:dyDescent="0.2"/>
  <cols>
    <col min="1" max="1" width="17.3984375" style="688" customWidth="1"/>
    <col min="2" max="2" width="11" style="688" customWidth="1"/>
    <col min="3" max="3" width="80.796875" style="688" bestFit="1" customWidth="1"/>
    <col min="4" max="4" width="13.59765625" style="688" bestFit="1" customWidth="1"/>
    <col min="5" max="5" width="12.59765625" style="688" customWidth="1"/>
    <col min="6" max="6" width="12" style="688" bestFit="1" customWidth="1"/>
    <col min="7" max="7" width="7.59765625" style="688" bestFit="1" customWidth="1"/>
    <col min="8" max="8" width="10.59765625" style="688" bestFit="1" customWidth="1"/>
    <col min="9" max="9" width="11.19921875" style="688" bestFit="1" customWidth="1"/>
    <col min="10" max="10" width="17.3984375" style="688" bestFit="1" customWidth="1"/>
    <col min="11" max="11" width="12.19921875" style="688" bestFit="1" customWidth="1"/>
    <col min="12" max="12" width="12.59765625" style="688" customWidth="1"/>
    <col min="13" max="13" width="12.3984375" style="702" customWidth="1"/>
    <col min="14" max="14" width="12.59765625" style="688" customWidth="1"/>
    <col min="15" max="16384" width="10.796875" style="688"/>
  </cols>
  <sheetData>
    <row r="1" spans="1:14" ht="80" x14ac:dyDescent="0.2">
      <c r="A1" s="684" t="s">
        <v>116</v>
      </c>
      <c r="B1" s="684" t="s">
        <v>537</v>
      </c>
      <c r="C1" s="684" t="s">
        <v>118</v>
      </c>
      <c r="D1" s="684" t="s">
        <v>275</v>
      </c>
      <c r="E1" s="685" t="s">
        <v>538</v>
      </c>
      <c r="F1" s="685" t="s">
        <v>539</v>
      </c>
      <c r="G1" s="685" t="s">
        <v>540</v>
      </c>
      <c r="H1" s="685" t="s">
        <v>541</v>
      </c>
      <c r="I1" s="685" t="s">
        <v>542</v>
      </c>
      <c r="J1" s="685" t="s">
        <v>543</v>
      </c>
      <c r="K1" s="686" t="s">
        <v>544</v>
      </c>
      <c r="L1" s="685" t="s">
        <v>545</v>
      </c>
      <c r="M1" s="687" t="s">
        <v>546</v>
      </c>
      <c r="N1" s="685"/>
    </row>
    <row r="2" spans="1:14" x14ac:dyDescent="0.2">
      <c r="B2" s="688" t="s">
        <v>88</v>
      </c>
      <c r="C2" s="688" t="s">
        <v>547</v>
      </c>
      <c r="D2" s="689">
        <v>1000000</v>
      </c>
      <c r="E2" s="690">
        <f>SUM(F2:K2)+N2</f>
        <v>15010</v>
      </c>
      <c r="F2" s="691">
        <f>8480+50</f>
        <v>8530</v>
      </c>
      <c r="G2" s="691"/>
      <c r="H2" s="691"/>
      <c r="I2" s="691"/>
      <c r="J2" s="691">
        <v>370</v>
      </c>
      <c r="K2" s="692">
        <v>6110</v>
      </c>
      <c r="L2" s="691"/>
      <c r="M2" s="693">
        <f>(K2)/E2</f>
        <v>0.40706195869420386</v>
      </c>
      <c r="N2" s="694"/>
    </row>
    <row r="3" spans="1:14" x14ac:dyDescent="0.2">
      <c r="B3" s="688" t="s">
        <v>548</v>
      </c>
      <c r="C3" s="688" t="s">
        <v>549</v>
      </c>
      <c r="D3" s="689">
        <v>1000000</v>
      </c>
      <c r="E3" s="690">
        <v>15418.94</v>
      </c>
      <c r="F3" s="691">
        <f>+E3-H3-I3-J3-K3</f>
        <v>8290</v>
      </c>
      <c r="G3" s="691"/>
      <c r="H3" s="691">
        <v>370</v>
      </c>
      <c r="I3" s="691">
        <v>66</v>
      </c>
      <c r="J3" s="691">
        <v>360</v>
      </c>
      <c r="K3" s="692">
        <v>6332.94</v>
      </c>
      <c r="L3" s="691"/>
      <c r="M3" s="693">
        <f>(K3)/E3</f>
        <v>0.41072473205032251</v>
      </c>
      <c r="N3" s="694"/>
    </row>
    <row r="4" spans="1:14" s="695" customFormat="1" x14ac:dyDescent="0.2">
      <c r="B4" s="695" t="s">
        <v>550</v>
      </c>
      <c r="C4" s="695" t="s">
        <v>547</v>
      </c>
      <c r="D4" s="696">
        <v>1000000</v>
      </c>
      <c r="E4" s="697">
        <v>15065</v>
      </c>
      <c r="F4" s="698">
        <f>+E4-H4-I4-J4-K4</f>
        <v>10035</v>
      </c>
      <c r="G4" s="698"/>
      <c r="H4" s="698"/>
      <c r="I4" s="698"/>
      <c r="J4" s="698">
        <v>320</v>
      </c>
      <c r="K4" s="698">
        <v>4710</v>
      </c>
      <c r="L4" s="698"/>
      <c r="M4" s="699">
        <f>(K4)/E4</f>
        <v>0.31264520411549951</v>
      </c>
      <c r="N4" s="698">
        <f>+E4*15</f>
        <v>225975</v>
      </c>
    </row>
    <row r="5" spans="1:14" x14ac:dyDescent="0.2">
      <c r="D5" s="691"/>
      <c r="E5" s="690"/>
      <c r="F5" s="691"/>
      <c r="G5" s="691"/>
      <c r="H5" s="691"/>
      <c r="I5" s="691"/>
      <c r="J5" s="700"/>
      <c r="L5" s="691"/>
      <c r="M5" s="693"/>
      <c r="N5" s="694"/>
    </row>
    <row r="6" spans="1:14" x14ac:dyDescent="0.2">
      <c r="B6" s="688" t="s">
        <v>548</v>
      </c>
      <c r="C6" s="688" t="s">
        <v>551</v>
      </c>
      <c r="D6" s="689">
        <v>1000000</v>
      </c>
      <c r="E6" s="690">
        <v>13383.68</v>
      </c>
      <c r="F6" s="691">
        <f>+E6-H6-I6-J6-K6</f>
        <v>8290</v>
      </c>
      <c r="G6" s="691"/>
      <c r="H6" s="691">
        <v>370</v>
      </c>
      <c r="I6" s="691">
        <v>66</v>
      </c>
      <c r="J6" s="691">
        <v>360</v>
      </c>
      <c r="K6" s="692">
        <v>4297.68</v>
      </c>
      <c r="L6" s="691"/>
      <c r="M6" s="693">
        <f>(K6)/E6</f>
        <v>0.32111347551644992</v>
      </c>
      <c r="N6" s="694"/>
    </row>
    <row r="7" spans="1:14" x14ac:dyDescent="0.2">
      <c r="B7" s="688" t="s">
        <v>88</v>
      </c>
      <c r="C7" s="688" t="s">
        <v>552</v>
      </c>
      <c r="D7" s="689">
        <v>1000000</v>
      </c>
      <c r="E7" s="690">
        <f>SUM(F7:K7)+N7</f>
        <v>12850</v>
      </c>
      <c r="F7" s="691">
        <f>8480+50</f>
        <v>8530</v>
      </c>
      <c r="G7" s="691"/>
      <c r="H7" s="691"/>
      <c r="I7" s="691"/>
      <c r="J7" s="691">
        <v>370</v>
      </c>
      <c r="K7" s="692">
        <v>3950</v>
      </c>
      <c r="L7" s="691"/>
      <c r="M7" s="693">
        <f>(K7)/E7</f>
        <v>0.30739299610894943</v>
      </c>
      <c r="N7" s="694"/>
    </row>
    <row r="8" spans="1:14" x14ac:dyDescent="0.2">
      <c r="B8" s="688" t="s">
        <v>550</v>
      </c>
      <c r="C8" s="701" t="s">
        <v>552</v>
      </c>
      <c r="D8" s="689">
        <v>1000000</v>
      </c>
      <c r="E8" s="690">
        <v>13855</v>
      </c>
      <c r="F8" s="691">
        <f>+E8-H8-I8-J8-K8</f>
        <v>10035</v>
      </c>
      <c r="G8" s="691"/>
      <c r="H8" s="691"/>
      <c r="I8" s="691"/>
      <c r="J8" s="691">
        <v>320</v>
      </c>
      <c r="K8" s="692">
        <v>3500</v>
      </c>
      <c r="L8" s="691"/>
      <c r="M8" s="693">
        <f>(K8)/E8</f>
        <v>0.25261638397690367</v>
      </c>
      <c r="N8" s="694"/>
    </row>
    <row r="10" spans="1:14" x14ac:dyDescent="0.2">
      <c r="B10" s="688" t="s">
        <v>550</v>
      </c>
      <c r="C10" s="688" t="s">
        <v>553</v>
      </c>
      <c r="D10" s="689">
        <v>1000000</v>
      </c>
      <c r="E10" s="690">
        <v>24245</v>
      </c>
      <c r="F10" s="691">
        <f>+E10-H10-I10-J10-K10</f>
        <v>21995</v>
      </c>
      <c r="G10" s="691"/>
      <c r="H10" s="691"/>
      <c r="I10" s="691"/>
      <c r="J10" s="691">
        <v>950</v>
      </c>
      <c r="K10" s="692">
        <v>1300</v>
      </c>
      <c r="L10" s="691"/>
      <c r="M10" s="693">
        <f>(K10)/E10</f>
        <v>5.3619302949061663E-2</v>
      </c>
      <c r="N10" s="694"/>
    </row>
    <row r="11" spans="1:14" x14ac:dyDescent="0.2">
      <c r="D11" s="689"/>
      <c r="E11" s="690"/>
      <c r="F11" s="691"/>
      <c r="G11" s="691"/>
      <c r="H11" s="691"/>
      <c r="I11" s="691"/>
      <c r="J11" s="691"/>
      <c r="K11" s="692"/>
      <c r="L11" s="691"/>
      <c r="M11" s="693"/>
      <c r="N11" s="694"/>
    </row>
    <row r="12" spans="1:14" x14ac:dyDescent="0.2">
      <c r="B12" s="688" t="s">
        <v>548</v>
      </c>
      <c r="C12" s="688" t="s">
        <v>554</v>
      </c>
      <c r="D12" s="689">
        <v>2000000</v>
      </c>
      <c r="E12" s="690">
        <v>30725.88</v>
      </c>
      <c r="F12" s="691">
        <f>+E12-H12-I12-J12-K12</f>
        <v>16580</v>
      </c>
      <c r="G12" s="691"/>
      <c r="H12" s="691">
        <v>740</v>
      </c>
      <c r="I12" s="691">
        <v>66</v>
      </c>
      <c r="J12" s="691">
        <v>720</v>
      </c>
      <c r="K12" s="692">
        <v>12619.88</v>
      </c>
      <c r="L12" s="691"/>
      <c r="M12" s="693">
        <f>(K12)/E12</f>
        <v>0.41072477012863418</v>
      </c>
      <c r="N12" s="694"/>
    </row>
    <row r="13" spans="1:14" x14ac:dyDescent="0.2">
      <c r="B13" s="688" t="s">
        <v>88</v>
      </c>
      <c r="C13" s="688" t="s">
        <v>547</v>
      </c>
      <c r="D13" s="689">
        <v>2000000</v>
      </c>
      <c r="E13" s="690">
        <f>SUM(F13:K13)+N13</f>
        <v>29970</v>
      </c>
      <c r="F13" s="691">
        <f>16960+50</f>
        <v>17010</v>
      </c>
      <c r="G13" s="691"/>
      <c r="H13" s="691"/>
      <c r="I13" s="691"/>
      <c r="J13" s="691">
        <v>740</v>
      </c>
      <c r="K13" s="692">
        <v>12220</v>
      </c>
      <c r="L13" s="691"/>
      <c r="M13" s="693">
        <f>(K13)/E13</f>
        <v>0.4077410744077411</v>
      </c>
      <c r="N13" s="694"/>
    </row>
    <row r="14" spans="1:14" x14ac:dyDescent="0.2">
      <c r="B14" s="688" t="s">
        <v>550</v>
      </c>
      <c r="C14" s="688" t="s">
        <v>547</v>
      </c>
      <c r="D14" s="689">
        <v>2000000</v>
      </c>
      <c r="E14" s="690">
        <v>30085</v>
      </c>
      <c r="F14" s="691">
        <f>+E14-H14-I14-J14-K14</f>
        <v>20025</v>
      </c>
      <c r="G14" s="691"/>
      <c r="H14" s="691"/>
      <c r="I14" s="691"/>
      <c r="J14" s="691">
        <v>640</v>
      </c>
      <c r="K14" s="692">
        <v>9420</v>
      </c>
      <c r="L14" s="691"/>
      <c r="M14" s="693">
        <f>(K14)/E14</f>
        <v>0.3131128469336879</v>
      </c>
      <c r="N14" s="694"/>
    </row>
    <row r="15" spans="1:14" x14ac:dyDescent="0.2">
      <c r="D15" s="689"/>
      <c r="E15" s="690"/>
      <c r="F15" s="691"/>
      <c r="G15" s="691"/>
      <c r="H15" s="691"/>
      <c r="I15" s="691"/>
      <c r="J15" s="691"/>
      <c r="K15" s="692"/>
      <c r="L15" s="691"/>
      <c r="M15" s="693"/>
      <c r="N15" s="694"/>
    </row>
    <row r="16" spans="1:14" x14ac:dyDescent="0.2">
      <c r="D16" s="689"/>
      <c r="E16" s="690"/>
      <c r="F16" s="691"/>
      <c r="G16" s="691"/>
      <c r="H16" s="691"/>
      <c r="I16" s="691"/>
      <c r="J16" s="691"/>
      <c r="K16" s="692"/>
      <c r="L16" s="691"/>
      <c r="M16" s="693"/>
      <c r="N16" s="694"/>
    </row>
    <row r="17" spans="4:14" x14ac:dyDescent="0.2">
      <c r="D17" s="689"/>
      <c r="E17" s="690"/>
      <c r="F17" s="691"/>
      <c r="G17" s="691"/>
      <c r="H17" s="691"/>
      <c r="I17" s="691"/>
      <c r="J17" s="691"/>
      <c r="K17" s="692"/>
      <c r="L17" s="691"/>
      <c r="M17" s="693"/>
      <c r="N17" s="694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1712-FAEA-44DB-A931-09FA583C39DB}">
  <sheetPr codeName="Feuil18"/>
  <dimension ref="A1:BI65"/>
  <sheetViews>
    <sheetView zoomScale="50" zoomScaleNormal="50" workbookViewId="0">
      <pane xSplit="1" ySplit="1" topLeftCell="B2" activePane="bottomRight" state="frozen"/>
      <selection activeCell="F9" sqref="F9"/>
      <selection pane="topRight" activeCell="F9" sqref="F9"/>
      <selection pane="bottomLeft" activeCell="F9" sqref="F9"/>
      <selection pane="bottomRight" activeCell="B62" sqref="B62"/>
    </sheetView>
  </sheetViews>
  <sheetFormatPr baseColWidth="10" defaultColWidth="0" defaultRowHeight="15" customHeight="1" zeroHeight="1" x14ac:dyDescent="0.2"/>
  <cols>
    <col min="1" max="1" width="47" style="601" customWidth="1"/>
    <col min="2" max="2" width="20.59765625" style="601" customWidth="1"/>
    <col min="3" max="3" width="16.59765625" style="601" customWidth="1"/>
    <col min="4" max="13" width="14.796875" style="601" customWidth="1"/>
    <col min="14" max="14" width="17" style="601" customWidth="1"/>
    <col min="15" max="15" width="15.59765625" style="601" bestFit="1" customWidth="1"/>
    <col min="16" max="16" width="11.3984375" style="601" customWidth="1"/>
    <col min="17" max="61" width="0" style="601" hidden="1" customWidth="1"/>
    <col min="62" max="16384" width="11.3984375" style="601" hidden="1"/>
  </cols>
  <sheetData>
    <row r="1" spans="1:16" s="566" customFormat="1" ht="80.25" customHeight="1" x14ac:dyDescent="0.2">
      <c r="A1" s="561"/>
      <c r="B1" s="562">
        <v>44927</v>
      </c>
      <c r="C1" s="562">
        <v>44958</v>
      </c>
      <c r="D1" s="562">
        <v>44986</v>
      </c>
      <c r="E1" s="562">
        <v>45017</v>
      </c>
      <c r="F1" s="562">
        <v>45047</v>
      </c>
      <c r="G1" s="562">
        <v>45078</v>
      </c>
      <c r="H1" s="562">
        <v>45108</v>
      </c>
      <c r="I1" s="562">
        <v>45139</v>
      </c>
      <c r="J1" s="562">
        <v>45170</v>
      </c>
      <c r="K1" s="562">
        <v>45200</v>
      </c>
      <c r="L1" s="562">
        <v>45231</v>
      </c>
      <c r="M1" s="562">
        <v>45261</v>
      </c>
      <c r="N1" s="563" t="s">
        <v>303</v>
      </c>
      <c r="O1" s="564" t="s">
        <v>44</v>
      </c>
      <c r="P1" s="565" t="s">
        <v>146</v>
      </c>
    </row>
    <row r="2" spans="1:16" s="568" customFormat="1" ht="29" x14ac:dyDescent="0.35">
      <c r="A2" s="567" t="s">
        <v>304</v>
      </c>
      <c r="N2" s="569"/>
      <c r="O2" s="569"/>
    </row>
    <row r="3" spans="1:16" s="570" customFormat="1" ht="21" x14ac:dyDescent="0.25">
      <c r="A3" s="570" t="s">
        <v>305</v>
      </c>
      <c r="B3" s="571">
        <v>2500</v>
      </c>
      <c r="C3" s="571">
        <v>1500</v>
      </c>
      <c r="D3" s="571">
        <v>999</v>
      </c>
      <c r="E3" s="571">
        <v>999</v>
      </c>
      <c r="F3" s="571">
        <v>999</v>
      </c>
      <c r="G3" s="571">
        <v>999</v>
      </c>
      <c r="H3" s="571">
        <v>999</v>
      </c>
      <c r="I3" s="571">
        <v>999</v>
      </c>
      <c r="J3" s="571">
        <v>999</v>
      </c>
      <c r="K3" s="571">
        <v>999</v>
      </c>
      <c r="L3" s="571">
        <v>999</v>
      </c>
      <c r="M3" s="571">
        <v>999</v>
      </c>
      <c r="N3" s="572">
        <f>AVERAGE(B3:M3)</f>
        <v>1165.8333333333333</v>
      </c>
      <c r="O3" s="573">
        <f>SUM(B3:M3)</f>
        <v>13990</v>
      </c>
      <c r="P3" s="574">
        <f>O3/O$10</f>
        <v>1</v>
      </c>
    </row>
    <row r="4" spans="1:16" s="570" customFormat="1" ht="21" x14ac:dyDescent="0.25">
      <c r="A4" s="570" t="s">
        <v>306</v>
      </c>
      <c r="B4" s="571">
        <v>0</v>
      </c>
      <c r="C4" s="571">
        <v>0</v>
      </c>
      <c r="D4" s="571">
        <v>0</v>
      </c>
      <c r="E4" s="571">
        <v>0</v>
      </c>
      <c r="F4" s="571">
        <v>0</v>
      </c>
      <c r="G4" s="571">
        <v>0</v>
      </c>
      <c r="H4" s="571">
        <v>0</v>
      </c>
      <c r="I4" s="571">
        <v>0</v>
      </c>
      <c r="J4" s="571">
        <v>0</v>
      </c>
      <c r="K4" s="571">
        <v>0</v>
      </c>
      <c r="L4" s="571">
        <v>0</v>
      </c>
      <c r="M4" s="571">
        <v>0</v>
      </c>
      <c r="N4" s="572">
        <f t="shared" ref="N4:N9" si="0">AVERAGE(B4:M4)</f>
        <v>0</v>
      </c>
      <c r="O4" s="573">
        <f t="shared" ref="O4:O9" si="1">SUM(B4:M4)</f>
        <v>0</v>
      </c>
      <c r="P4" s="574">
        <f t="shared" ref="P4:P9" si="2">O4/O$10</f>
        <v>0</v>
      </c>
    </row>
    <row r="5" spans="1:16" s="570" customFormat="1" ht="21" x14ac:dyDescent="0.25">
      <c r="A5" s="570" t="s">
        <v>307</v>
      </c>
      <c r="B5" s="571">
        <v>0</v>
      </c>
      <c r="C5" s="571">
        <v>0</v>
      </c>
      <c r="D5" s="571">
        <v>0</v>
      </c>
      <c r="E5" s="571">
        <v>0</v>
      </c>
      <c r="F5" s="571">
        <v>0</v>
      </c>
      <c r="G5" s="571">
        <v>0</v>
      </c>
      <c r="H5" s="571">
        <v>0</v>
      </c>
      <c r="I5" s="571">
        <v>0</v>
      </c>
      <c r="J5" s="571">
        <v>0</v>
      </c>
      <c r="K5" s="571">
        <v>0</v>
      </c>
      <c r="L5" s="571">
        <v>0</v>
      </c>
      <c r="M5" s="571">
        <v>0</v>
      </c>
      <c r="N5" s="572">
        <f t="shared" si="0"/>
        <v>0</v>
      </c>
      <c r="O5" s="573">
        <f t="shared" si="1"/>
        <v>0</v>
      </c>
      <c r="P5" s="574">
        <f t="shared" si="2"/>
        <v>0</v>
      </c>
    </row>
    <row r="6" spans="1:16" s="570" customFormat="1" ht="21" x14ac:dyDescent="0.25">
      <c r="A6" s="570" t="s">
        <v>308</v>
      </c>
      <c r="B6" s="571">
        <v>0</v>
      </c>
      <c r="C6" s="571">
        <v>0</v>
      </c>
      <c r="D6" s="571">
        <v>0</v>
      </c>
      <c r="E6" s="571">
        <v>0</v>
      </c>
      <c r="F6" s="571">
        <v>0</v>
      </c>
      <c r="G6" s="571">
        <v>0</v>
      </c>
      <c r="H6" s="571">
        <v>0</v>
      </c>
      <c r="I6" s="571">
        <v>0</v>
      </c>
      <c r="J6" s="571">
        <v>0</v>
      </c>
      <c r="K6" s="571">
        <v>0</v>
      </c>
      <c r="L6" s="571">
        <v>0</v>
      </c>
      <c r="M6" s="571">
        <v>0</v>
      </c>
      <c r="N6" s="572">
        <f t="shared" si="0"/>
        <v>0</v>
      </c>
      <c r="O6" s="573">
        <f t="shared" si="1"/>
        <v>0</v>
      </c>
      <c r="P6" s="574">
        <f>O6/O$10</f>
        <v>0</v>
      </c>
    </row>
    <row r="7" spans="1:16" s="570" customFormat="1" ht="21" x14ac:dyDescent="0.25">
      <c r="A7" s="570" t="s">
        <v>309</v>
      </c>
      <c r="B7" s="571">
        <v>0</v>
      </c>
      <c r="C7" s="571">
        <v>0</v>
      </c>
      <c r="D7" s="571">
        <v>0</v>
      </c>
      <c r="E7" s="571">
        <v>0</v>
      </c>
      <c r="F7" s="571">
        <v>0</v>
      </c>
      <c r="G7" s="571">
        <v>0</v>
      </c>
      <c r="H7" s="571">
        <v>0</v>
      </c>
      <c r="I7" s="571">
        <v>0</v>
      </c>
      <c r="J7" s="571">
        <v>0</v>
      </c>
      <c r="K7" s="571">
        <v>0</v>
      </c>
      <c r="L7" s="571">
        <v>0</v>
      </c>
      <c r="M7" s="571">
        <v>0</v>
      </c>
      <c r="N7" s="572">
        <f t="shared" si="0"/>
        <v>0</v>
      </c>
      <c r="O7" s="573">
        <f t="shared" si="1"/>
        <v>0</v>
      </c>
      <c r="P7" s="574">
        <f t="shared" si="2"/>
        <v>0</v>
      </c>
    </row>
    <row r="8" spans="1:16" s="570" customFormat="1" ht="21" x14ac:dyDescent="0.25">
      <c r="A8" s="570" t="s">
        <v>310</v>
      </c>
      <c r="B8" s="571">
        <v>0</v>
      </c>
      <c r="C8" s="571">
        <v>0</v>
      </c>
      <c r="D8" s="571">
        <v>0</v>
      </c>
      <c r="E8" s="571">
        <v>0</v>
      </c>
      <c r="F8" s="571">
        <v>0</v>
      </c>
      <c r="G8" s="571">
        <v>0</v>
      </c>
      <c r="H8" s="571">
        <v>0</v>
      </c>
      <c r="I8" s="571">
        <v>0</v>
      </c>
      <c r="J8" s="571">
        <v>0</v>
      </c>
      <c r="K8" s="571">
        <v>0</v>
      </c>
      <c r="L8" s="571">
        <v>0</v>
      </c>
      <c r="M8" s="571">
        <v>0</v>
      </c>
      <c r="N8" s="572">
        <f t="shared" si="0"/>
        <v>0</v>
      </c>
      <c r="O8" s="573">
        <f t="shared" si="1"/>
        <v>0</v>
      </c>
      <c r="P8" s="574">
        <f t="shared" si="2"/>
        <v>0</v>
      </c>
    </row>
    <row r="9" spans="1:16" s="570" customFormat="1" ht="21" x14ac:dyDescent="0.25">
      <c r="A9" s="570" t="s">
        <v>311</v>
      </c>
      <c r="B9" s="571">
        <v>0</v>
      </c>
      <c r="C9" s="571">
        <v>0</v>
      </c>
      <c r="D9" s="571">
        <v>0</v>
      </c>
      <c r="E9" s="571">
        <v>0</v>
      </c>
      <c r="F9" s="571">
        <v>0</v>
      </c>
      <c r="G9" s="571">
        <v>0</v>
      </c>
      <c r="H9" s="571">
        <v>0</v>
      </c>
      <c r="I9" s="571">
        <v>0</v>
      </c>
      <c r="J9" s="571">
        <v>0</v>
      </c>
      <c r="K9" s="571">
        <v>0</v>
      </c>
      <c r="L9" s="571">
        <v>0</v>
      </c>
      <c r="M9" s="571">
        <v>0</v>
      </c>
      <c r="N9" s="572">
        <f t="shared" si="0"/>
        <v>0</v>
      </c>
      <c r="O9" s="573">
        <f t="shared" si="1"/>
        <v>0</v>
      </c>
      <c r="P9" s="574">
        <f t="shared" si="2"/>
        <v>0</v>
      </c>
    </row>
    <row r="10" spans="1:16" s="568" customFormat="1" ht="21" x14ac:dyDescent="0.25">
      <c r="A10" s="576" t="s">
        <v>149</v>
      </c>
      <c r="B10" s="577">
        <f t="shared" ref="B10:M10" si="3">SUM(B3:B9)</f>
        <v>2500</v>
      </c>
      <c r="C10" s="577">
        <f t="shared" si="3"/>
        <v>1500</v>
      </c>
      <c r="D10" s="577">
        <f t="shared" si="3"/>
        <v>999</v>
      </c>
      <c r="E10" s="577">
        <f t="shared" si="3"/>
        <v>999</v>
      </c>
      <c r="F10" s="577">
        <f t="shared" si="3"/>
        <v>999</v>
      </c>
      <c r="G10" s="577">
        <f t="shared" si="3"/>
        <v>999</v>
      </c>
      <c r="H10" s="577">
        <f t="shared" si="3"/>
        <v>999</v>
      </c>
      <c r="I10" s="577">
        <f t="shared" si="3"/>
        <v>999</v>
      </c>
      <c r="J10" s="577">
        <f t="shared" si="3"/>
        <v>999</v>
      </c>
      <c r="K10" s="577">
        <f t="shared" si="3"/>
        <v>999</v>
      </c>
      <c r="L10" s="577">
        <f t="shared" si="3"/>
        <v>999</v>
      </c>
      <c r="M10" s="577">
        <f t="shared" si="3"/>
        <v>999</v>
      </c>
      <c r="N10" s="578">
        <f t="shared" ref="N10" si="4">AVERAGE(E10:M10)</f>
        <v>999</v>
      </c>
      <c r="O10" s="578">
        <f>SUM(O3:O9)</f>
        <v>13990</v>
      </c>
      <c r="P10" s="579">
        <f>SUM(P3:P9)</f>
        <v>1</v>
      </c>
    </row>
    <row r="11" spans="1:16" s="580" customFormat="1" ht="12.75" customHeight="1" x14ac:dyDescent="0.25">
      <c r="B11" s="581"/>
      <c r="C11" s="581"/>
      <c r="D11" s="581"/>
      <c r="E11" s="581"/>
      <c r="F11" s="581"/>
      <c r="G11" s="581"/>
      <c r="H11" s="581"/>
      <c r="I11" s="581"/>
      <c r="J11" s="581"/>
      <c r="K11" s="581"/>
      <c r="L11" s="582"/>
      <c r="M11" s="581"/>
      <c r="N11" s="583"/>
      <c r="O11" s="583"/>
    </row>
    <row r="12" spans="1:16" s="568" customFormat="1" ht="29" x14ac:dyDescent="0.35">
      <c r="A12" s="567" t="s">
        <v>150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5"/>
      <c r="O12" s="585"/>
    </row>
    <row r="13" spans="1:16" s="590" customFormat="1" ht="24" x14ac:dyDescent="0.3">
      <c r="A13" s="586" t="s">
        <v>312</v>
      </c>
      <c r="B13" s="587"/>
      <c r="C13" s="587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8">
        <f>SUM(N14:N18)</f>
        <v>480</v>
      </c>
      <c r="O13" s="588">
        <f t="shared" ref="O13:P13" si="5">SUM(O14:O18)</f>
        <v>5760</v>
      </c>
      <c r="P13" s="589">
        <f t="shared" si="5"/>
        <v>0.3027595269382391</v>
      </c>
    </row>
    <row r="14" spans="1:16" s="570" customFormat="1" ht="21" x14ac:dyDescent="0.25">
      <c r="A14" s="570" t="s">
        <v>152</v>
      </c>
      <c r="B14" s="571">
        <v>400</v>
      </c>
      <c r="C14" s="571">
        <v>400</v>
      </c>
      <c r="D14" s="571">
        <v>400</v>
      </c>
      <c r="E14" s="571">
        <v>400</v>
      </c>
      <c r="F14" s="571">
        <v>400</v>
      </c>
      <c r="G14" s="571">
        <v>400</v>
      </c>
      <c r="H14" s="571">
        <v>400</v>
      </c>
      <c r="I14" s="571">
        <v>400</v>
      </c>
      <c r="J14" s="571">
        <v>400</v>
      </c>
      <c r="K14" s="571">
        <v>400</v>
      </c>
      <c r="L14" s="571">
        <v>400</v>
      </c>
      <c r="M14" s="571">
        <v>400</v>
      </c>
      <c r="N14" s="572">
        <f>AVERAGE(B14:M14)</f>
        <v>400</v>
      </c>
      <c r="O14" s="573">
        <f>SUM(B14:M14)</f>
        <v>4800</v>
      </c>
      <c r="P14" s="574">
        <f>O14/O$57</f>
        <v>0.25229960578186594</v>
      </c>
    </row>
    <row r="15" spans="1:16" s="570" customFormat="1" ht="21" x14ac:dyDescent="0.25">
      <c r="A15" s="570" t="s">
        <v>153</v>
      </c>
      <c r="B15" s="571">
        <v>50</v>
      </c>
      <c r="C15" s="571">
        <v>50</v>
      </c>
      <c r="D15" s="571">
        <v>50</v>
      </c>
      <c r="E15" s="571">
        <v>50</v>
      </c>
      <c r="F15" s="571">
        <v>50</v>
      </c>
      <c r="G15" s="571">
        <v>50</v>
      </c>
      <c r="H15" s="571">
        <v>50</v>
      </c>
      <c r="I15" s="571">
        <v>50</v>
      </c>
      <c r="J15" s="571">
        <v>50</v>
      </c>
      <c r="K15" s="571">
        <v>50</v>
      </c>
      <c r="L15" s="571">
        <v>50</v>
      </c>
      <c r="M15" s="571">
        <v>50</v>
      </c>
      <c r="N15" s="572">
        <f t="shared" ref="N15:N18" si="6">AVERAGE(B15:M15)</f>
        <v>50</v>
      </c>
      <c r="O15" s="573">
        <f t="shared" ref="O15:O18" si="7">SUM(B15:M15)</f>
        <v>600</v>
      </c>
      <c r="P15" s="574">
        <f>O15/O$57</f>
        <v>3.1537450722733243E-2</v>
      </c>
    </row>
    <row r="16" spans="1:16" s="570" customFormat="1" ht="21" x14ac:dyDescent="0.25">
      <c r="A16" s="570" t="s">
        <v>154</v>
      </c>
      <c r="B16" s="571">
        <v>30</v>
      </c>
      <c r="C16" s="571">
        <v>30</v>
      </c>
      <c r="D16" s="571">
        <v>30</v>
      </c>
      <c r="E16" s="571">
        <v>30</v>
      </c>
      <c r="F16" s="571">
        <v>30</v>
      </c>
      <c r="G16" s="571">
        <v>30</v>
      </c>
      <c r="H16" s="571">
        <v>30</v>
      </c>
      <c r="I16" s="571">
        <v>30</v>
      </c>
      <c r="J16" s="571">
        <v>30</v>
      </c>
      <c r="K16" s="571">
        <v>30</v>
      </c>
      <c r="L16" s="571">
        <v>30</v>
      </c>
      <c r="M16" s="571">
        <v>30</v>
      </c>
      <c r="N16" s="572">
        <f t="shared" si="6"/>
        <v>30</v>
      </c>
      <c r="O16" s="573">
        <f t="shared" si="7"/>
        <v>360</v>
      </c>
      <c r="P16" s="574">
        <f>O16/O$57</f>
        <v>1.8922470433639947E-2</v>
      </c>
    </row>
    <row r="17" spans="1:16" s="570" customFormat="1" ht="21" x14ac:dyDescent="0.25">
      <c r="A17" s="570" t="s">
        <v>155</v>
      </c>
      <c r="B17" s="571">
        <v>0</v>
      </c>
      <c r="C17" s="571">
        <v>0</v>
      </c>
      <c r="D17" s="571">
        <v>0</v>
      </c>
      <c r="E17" s="571">
        <v>0</v>
      </c>
      <c r="F17" s="571">
        <v>0</v>
      </c>
      <c r="G17" s="571">
        <v>0</v>
      </c>
      <c r="H17" s="571">
        <v>0</v>
      </c>
      <c r="I17" s="571">
        <v>0</v>
      </c>
      <c r="J17" s="571">
        <v>0</v>
      </c>
      <c r="K17" s="571">
        <v>0</v>
      </c>
      <c r="L17" s="571">
        <v>0</v>
      </c>
      <c r="M17" s="571">
        <v>0</v>
      </c>
      <c r="N17" s="572">
        <f t="shared" si="6"/>
        <v>0</v>
      </c>
      <c r="O17" s="573">
        <f t="shared" si="7"/>
        <v>0</v>
      </c>
      <c r="P17" s="574">
        <f t="shared" ref="P17:P18" si="8">O17/O$57</f>
        <v>0</v>
      </c>
    </row>
    <row r="18" spans="1:16" s="570" customFormat="1" ht="21" x14ac:dyDescent="0.25">
      <c r="A18" s="570" t="s">
        <v>156</v>
      </c>
      <c r="B18" s="571">
        <v>0</v>
      </c>
      <c r="C18" s="571">
        <v>0</v>
      </c>
      <c r="D18" s="571">
        <v>0</v>
      </c>
      <c r="E18" s="571">
        <v>0</v>
      </c>
      <c r="F18" s="571">
        <v>0</v>
      </c>
      <c r="G18" s="571">
        <v>0</v>
      </c>
      <c r="H18" s="571">
        <v>0</v>
      </c>
      <c r="I18" s="571">
        <v>0</v>
      </c>
      <c r="J18" s="571">
        <v>0</v>
      </c>
      <c r="K18" s="571">
        <v>0</v>
      </c>
      <c r="L18" s="571">
        <v>0</v>
      </c>
      <c r="M18" s="571">
        <v>0</v>
      </c>
      <c r="N18" s="572">
        <f t="shared" si="6"/>
        <v>0</v>
      </c>
      <c r="O18" s="573">
        <f t="shared" si="7"/>
        <v>0</v>
      </c>
      <c r="P18" s="574">
        <f t="shared" si="8"/>
        <v>0</v>
      </c>
    </row>
    <row r="19" spans="1:16" s="590" customFormat="1" ht="24" x14ac:dyDescent="0.3">
      <c r="A19" s="586" t="s">
        <v>157</v>
      </c>
      <c r="B19" s="587"/>
      <c r="C19" s="587"/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8">
        <f>SUM(N20:N23)</f>
        <v>400</v>
      </c>
      <c r="O19" s="588">
        <f>SUM(O20:O23)</f>
        <v>4800</v>
      </c>
      <c r="P19" s="589">
        <f>SUM(P20:P23)</f>
        <v>0.25229960578186594</v>
      </c>
    </row>
    <row r="20" spans="1:16" s="570" customFormat="1" ht="21" x14ac:dyDescent="0.25">
      <c r="A20" s="570" t="s">
        <v>313</v>
      </c>
      <c r="B20" s="571">
        <v>300</v>
      </c>
      <c r="C20" s="571">
        <v>300</v>
      </c>
      <c r="D20" s="571">
        <v>300</v>
      </c>
      <c r="E20" s="571">
        <v>300</v>
      </c>
      <c r="F20" s="571">
        <v>300</v>
      </c>
      <c r="G20" s="571">
        <v>300</v>
      </c>
      <c r="H20" s="571">
        <v>300</v>
      </c>
      <c r="I20" s="571">
        <v>300</v>
      </c>
      <c r="J20" s="571">
        <v>300</v>
      </c>
      <c r="K20" s="571">
        <v>300</v>
      </c>
      <c r="L20" s="571">
        <v>300</v>
      </c>
      <c r="M20" s="571">
        <v>300</v>
      </c>
      <c r="N20" s="572">
        <f>AVERAGE(B20:M20)</f>
        <v>300</v>
      </c>
      <c r="O20" s="573">
        <f>SUM(B20:M20)</f>
        <v>3600</v>
      </c>
      <c r="P20" s="574">
        <f>O20/O$57</f>
        <v>0.18922470433639949</v>
      </c>
    </row>
    <row r="21" spans="1:16" s="570" customFormat="1" ht="21" x14ac:dyDescent="0.25">
      <c r="A21" s="570" t="s">
        <v>159</v>
      </c>
      <c r="B21" s="571">
        <v>100</v>
      </c>
      <c r="C21" s="571">
        <v>100</v>
      </c>
      <c r="D21" s="571">
        <v>100</v>
      </c>
      <c r="E21" s="571">
        <v>100</v>
      </c>
      <c r="F21" s="571">
        <v>100</v>
      </c>
      <c r="G21" s="571">
        <v>100</v>
      </c>
      <c r="H21" s="571">
        <v>100</v>
      </c>
      <c r="I21" s="571">
        <v>100</v>
      </c>
      <c r="J21" s="571">
        <v>100</v>
      </c>
      <c r="K21" s="571">
        <v>100</v>
      </c>
      <c r="L21" s="571">
        <v>100</v>
      </c>
      <c r="M21" s="571">
        <v>100</v>
      </c>
      <c r="N21" s="572">
        <f t="shared" ref="N21:N23" si="9">AVERAGE(B21:M21)</f>
        <v>100</v>
      </c>
      <c r="O21" s="573">
        <f t="shared" ref="O21:O23" si="10">SUM(B21:M21)</f>
        <v>1200</v>
      </c>
      <c r="P21" s="574">
        <f>O21/O$57</f>
        <v>6.3074901445466486E-2</v>
      </c>
    </row>
    <row r="22" spans="1:16" s="570" customFormat="1" ht="21" x14ac:dyDescent="0.25">
      <c r="A22" s="570" t="s">
        <v>160</v>
      </c>
      <c r="B22" s="571">
        <v>0</v>
      </c>
      <c r="C22" s="571">
        <v>0</v>
      </c>
      <c r="D22" s="571">
        <v>0</v>
      </c>
      <c r="E22" s="571">
        <v>0</v>
      </c>
      <c r="F22" s="571">
        <v>0</v>
      </c>
      <c r="G22" s="571">
        <v>0</v>
      </c>
      <c r="H22" s="571">
        <v>0</v>
      </c>
      <c r="I22" s="571">
        <v>0</v>
      </c>
      <c r="J22" s="571">
        <v>0</v>
      </c>
      <c r="K22" s="571">
        <v>0</v>
      </c>
      <c r="L22" s="571">
        <v>0</v>
      </c>
      <c r="M22" s="571">
        <v>0</v>
      </c>
      <c r="N22" s="572">
        <f t="shared" si="9"/>
        <v>0</v>
      </c>
      <c r="O22" s="573">
        <f t="shared" si="10"/>
        <v>0</v>
      </c>
      <c r="P22" s="574">
        <f>O22/O$57</f>
        <v>0</v>
      </c>
    </row>
    <row r="23" spans="1:16" s="570" customFormat="1" ht="21" x14ac:dyDescent="0.25">
      <c r="A23" s="570" t="s">
        <v>186</v>
      </c>
      <c r="B23" s="571">
        <v>0</v>
      </c>
      <c r="C23" s="571">
        <v>0</v>
      </c>
      <c r="D23" s="571">
        <v>0</v>
      </c>
      <c r="E23" s="571">
        <v>0</v>
      </c>
      <c r="F23" s="571">
        <v>0</v>
      </c>
      <c r="G23" s="571">
        <v>0</v>
      </c>
      <c r="H23" s="571">
        <v>0</v>
      </c>
      <c r="I23" s="571">
        <v>0</v>
      </c>
      <c r="J23" s="571">
        <v>0</v>
      </c>
      <c r="K23" s="571">
        <v>0</v>
      </c>
      <c r="L23" s="571">
        <v>0</v>
      </c>
      <c r="M23" s="571">
        <v>0</v>
      </c>
      <c r="N23" s="572">
        <f t="shared" si="9"/>
        <v>0</v>
      </c>
      <c r="O23" s="573">
        <f t="shared" si="10"/>
        <v>0</v>
      </c>
      <c r="P23" s="574">
        <f>O23/O$57</f>
        <v>0</v>
      </c>
    </row>
    <row r="24" spans="1:16" s="590" customFormat="1" ht="24" x14ac:dyDescent="0.3">
      <c r="A24" s="586" t="s">
        <v>161</v>
      </c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8">
        <f>SUM(N25:N29)</f>
        <v>620</v>
      </c>
      <c r="O24" s="588">
        <f t="shared" ref="O24:P24" si="11">SUM(O25:O29)</f>
        <v>7440</v>
      </c>
      <c r="P24" s="589">
        <f t="shared" si="11"/>
        <v>0.39106438896189222</v>
      </c>
    </row>
    <row r="25" spans="1:16" s="570" customFormat="1" ht="21" x14ac:dyDescent="0.25">
      <c r="A25" s="570" t="s">
        <v>162</v>
      </c>
      <c r="B25" s="571">
        <v>200</v>
      </c>
      <c r="C25" s="571">
        <v>200</v>
      </c>
      <c r="D25" s="571">
        <v>200</v>
      </c>
      <c r="E25" s="571">
        <v>200</v>
      </c>
      <c r="F25" s="571">
        <v>200</v>
      </c>
      <c r="G25" s="571">
        <v>200</v>
      </c>
      <c r="H25" s="571">
        <v>200</v>
      </c>
      <c r="I25" s="571">
        <v>200</v>
      </c>
      <c r="J25" s="571">
        <v>200</v>
      </c>
      <c r="K25" s="571">
        <v>200</v>
      </c>
      <c r="L25" s="571">
        <v>200</v>
      </c>
      <c r="M25" s="571">
        <v>200</v>
      </c>
      <c r="N25" s="572">
        <f>AVERAGE(B25:M25)</f>
        <v>200</v>
      </c>
      <c r="O25" s="573">
        <f>SUM(B25:M25)</f>
        <v>2400</v>
      </c>
      <c r="P25" s="574">
        <f>O25/O$57</f>
        <v>0.12614980289093297</v>
      </c>
    </row>
    <row r="26" spans="1:16" s="570" customFormat="1" ht="21" x14ac:dyDescent="0.25">
      <c r="A26" s="570" t="s">
        <v>163</v>
      </c>
      <c r="B26" s="571">
        <v>250</v>
      </c>
      <c r="C26" s="571">
        <v>250</v>
      </c>
      <c r="D26" s="571">
        <v>250</v>
      </c>
      <c r="E26" s="571">
        <v>250</v>
      </c>
      <c r="F26" s="571">
        <v>250</v>
      </c>
      <c r="G26" s="571">
        <v>250</v>
      </c>
      <c r="H26" s="571">
        <v>250</v>
      </c>
      <c r="I26" s="571">
        <v>250</v>
      </c>
      <c r="J26" s="571">
        <v>250</v>
      </c>
      <c r="K26" s="571">
        <v>250</v>
      </c>
      <c r="L26" s="571">
        <v>250</v>
      </c>
      <c r="M26" s="571">
        <v>250</v>
      </c>
      <c r="N26" s="572">
        <f t="shared" ref="N26:N29" si="12">AVERAGE(B26:M26)</f>
        <v>250</v>
      </c>
      <c r="O26" s="573">
        <f t="shared" ref="O26:O29" si="13">SUM(B26:M26)</f>
        <v>3000</v>
      </c>
      <c r="P26" s="574">
        <f>O26/O$57</f>
        <v>0.15768725361366623</v>
      </c>
    </row>
    <row r="27" spans="1:16" s="570" customFormat="1" ht="21" x14ac:dyDescent="0.25">
      <c r="A27" s="570" t="s">
        <v>164</v>
      </c>
      <c r="B27" s="571">
        <v>50</v>
      </c>
      <c r="C27" s="571">
        <v>50</v>
      </c>
      <c r="D27" s="571">
        <v>50</v>
      </c>
      <c r="E27" s="571">
        <v>50</v>
      </c>
      <c r="F27" s="571">
        <v>50</v>
      </c>
      <c r="G27" s="571">
        <v>50</v>
      </c>
      <c r="H27" s="571">
        <v>50</v>
      </c>
      <c r="I27" s="571">
        <v>50</v>
      </c>
      <c r="J27" s="571">
        <v>50</v>
      </c>
      <c r="K27" s="571">
        <v>50</v>
      </c>
      <c r="L27" s="571">
        <v>50</v>
      </c>
      <c r="M27" s="571">
        <v>50</v>
      </c>
      <c r="N27" s="572">
        <f t="shared" si="12"/>
        <v>50</v>
      </c>
      <c r="O27" s="573">
        <f t="shared" si="13"/>
        <v>600</v>
      </c>
      <c r="P27" s="574">
        <f>O27/O$57</f>
        <v>3.1537450722733243E-2</v>
      </c>
    </row>
    <row r="28" spans="1:16" s="570" customFormat="1" ht="21" x14ac:dyDescent="0.25">
      <c r="A28" s="570" t="s">
        <v>314</v>
      </c>
      <c r="B28" s="571">
        <v>20</v>
      </c>
      <c r="C28" s="571">
        <v>20</v>
      </c>
      <c r="D28" s="571">
        <v>20</v>
      </c>
      <c r="E28" s="571">
        <v>20</v>
      </c>
      <c r="F28" s="571">
        <v>20</v>
      </c>
      <c r="G28" s="571">
        <v>20</v>
      </c>
      <c r="H28" s="571">
        <v>20</v>
      </c>
      <c r="I28" s="571">
        <v>20</v>
      </c>
      <c r="J28" s="571">
        <v>20</v>
      </c>
      <c r="K28" s="571">
        <v>20</v>
      </c>
      <c r="L28" s="571">
        <v>20</v>
      </c>
      <c r="M28" s="571">
        <v>20</v>
      </c>
      <c r="N28" s="572">
        <f t="shared" si="12"/>
        <v>20</v>
      </c>
      <c r="O28" s="573">
        <f t="shared" si="13"/>
        <v>240</v>
      </c>
      <c r="P28" s="574">
        <f>O28/O$57</f>
        <v>1.2614980289093298E-2</v>
      </c>
    </row>
    <row r="29" spans="1:16" s="570" customFormat="1" ht="21" x14ac:dyDescent="0.25">
      <c r="A29" s="570" t="s">
        <v>186</v>
      </c>
      <c r="B29" s="571">
        <v>100</v>
      </c>
      <c r="C29" s="571">
        <v>100</v>
      </c>
      <c r="D29" s="571">
        <v>100</v>
      </c>
      <c r="E29" s="571">
        <v>100</v>
      </c>
      <c r="F29" s="571">
        <v>100</v>
      </c>
      <c r="G29" s="571">
        <v>100</v>
      </c>
      <c r="H29" s="571">
        <v>100</v>
      </c>
      <c r="I29" s="571">
        <v>100</v>
      </c>
      <c r="J29" s="571">
        <v>100</v>
      </c>
      <c r="K29" s="571">
        <v>100</v>
      </c>
      <c r="L29" s="571">
        <v>100</v>
      </c>
      <c r="M29" s="571">
        <v>100</v>
      </c>
      <c r="N29" s="572">
        <f t="shared" si="12"/>
        <v>100</v>
      </c>
      <c r="O29" s="573">
        <f t="shared" si="13"/>
        <v>1200</v>
      </c>
      <c r="P29" s="574">
        <f>O29/O$57</f>
        <v>6.3074901445466486E-2</v>
      </c>
    </row>
    <row r="30" spans="1:16" s="590" customFormat="1" ht="24" x14ac:dyDescent="0.3">
      <c r="A30" s="586" t="s">
        <v>165</v>
      </c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8">
        <f>SUM(N31:N37)</f>
        <v>180</v>
      </c>
      <c r="O30" s="588">
        <f>SUM(O31:O37)</f>
        <v>2160</v>
      </c>
      <c r="P30" s="589">
        <f>SUM(P31:P37)</f>
        <v>0.11353482260183967</v>
      </c>
    </row>
    <row r="31" spans="1:16" s="570" customFormat="1" ht="21" x14ac:dyDescent="0.25">
      <c r="A31" s="570" t="s">
        <v>166</v>
      </c>
      <c r="B31" s="571">
        <v>0</v>
      </c>
      <c r="C31" s="571">
        <v>0</v>
      </c>
      <c r="D31" s="571">
        <v>0</v>
      </c>
      <c r="E31" s="571">
        <v>0</v>
      </c>
      <c r="F31" s="571">
        <v>0</v>
      </c>
      <c r="G31" s="571">
        <v>0</v>
      </c>
      <c r="H31" s="571">
        <v>0</v>
      </c>
      <c r="I31" s="571">
        <v>0</v>
      </c>
      <c r="J31" s="571">
        <v>0</v>
      </c>
      <c r="K31" s="571">
        <v>0</v>
      </c>
      <c r="L31" s="571">
        <v>0</v>
      </c>
      <c r="M31" s="571">
        <v>0</v>
      </c>
      <c r="N31" s="572">
        <f>AVERAGE(B31:M31)</f>
        <v>0</v>
      </c>
      <c r="O31" s="573">
        <f>SUM(B31:M31)</f>
        <v>0</v>
      </c>
      <c r="P31" s="574">
        <f t="shared" ref="P31:P33" si="14">O31/O$57</f>
        <v>0</v>
      </c>
    </row>
    <row r="32" spans="1:16" s="570" customFormat="1" ht="21" x14ac:dyDescent="0.25">
      <c r="A32" s="570" t="s">
        <v>167</v>
      </c>
      <c r="B32" s="571">
        <v>0</v>
      </c>
      <c r="C32" s="571">
        <v>0</v>
      </c>
      <c r="D32" s="571">
        <v>0</v>
      </c>
      <c r="E32" s="571">
        <v>0</v>
      </c>
      <c r="F32" s="571">
        <v>0</v>
      </c>
      <c r="G32" s="571">
        <v>0</v>
      </c>
      <c r="H32" s="571">
        <v>0</v>
      </c>
      <c r="I32" s="571">
        <v>0</v>
      </c>
      <c r="J32" s="571">
        <v>0</v>
      </c>
      <c r="K32" s="571">
        <v>0</v>
      </c>
      <c r="L32" s="571">
        <v>0</v>
      </c>
      <c r="M32" s="571">
        <v>0</v>
      </c>
      <c r="N32" s="572">
        <f t="shared" ref="N32:N37" si="15">AVERAGE(B32:M32)</f>
        <v>0</v>
      </c>
      <c r="O32" s="573">
        <f t="shared" ref="O32:O37" si="16">SUM(B32:M32)</f>
        <v>0</v>
      </c>
      <c r="P32" s="574">
        <f t="shared" si="14"/>
        <v>0</v>
      </c>
    </row>
    <row r="33" spans="1:16" s="570" customFormat="1" ht="21" x14ac:dyDescent="0.25">
      <c r="A33" s="570" t="s">
        <v>168</v>
      </c>
      <c r="B33" s="571">
        <v>0</v>
      </c>
      <c r="C33" s="571">
        <v>0</v>
      </c>
      <c r="D33" s="571">
        <v>0</v>
      </c>
      <c r="E33" s="571">
        <v>0</v>
      </c>
      <c r="F33" s="571">
        <v>0</v>
      </c>
      <c r="G33" s="571">
        <v>0</v>
      </c>
      <c r="H33" s="571">
        <v>0</v>
      </c>
      <c r="I33" s="571">
        <v>0</v>
      </c>
      <c r="J33" s="571">
        <v>0</v>
      </c>
      <c r="K33" s="571">
        <v>0</v>
      </c>
      <c r="L33" s="571">
        <v>0</v>
      </c>
      <c r="M33" s="571">
        <v>0</v>
      </c>
      <c r="N33" s="572">
        <f t="shared" si="15"/>
        <v>0</v>
      </c>
      <c r="O33" s="573">
        <f t="shared" si="16"/>
        <v>0</v>
      </c>
      <c r="P33" s="574">
        <f t="shared" si="14"/>
        <v>0</v>
      </c>
    </row>
    <row r="34" spans="1:16" s="570" customFormat="1" ht="21" x14ac:dyDescent="0.25">
      <c r="A34" s="570" t="s">
        <v>315</v>
      </c>
      <c r="B34" s="571">
        <v>30</v>
      </c>
      <c r="C34" s="571">
        <v>30</v>
      </c>
      <c r="D34" s="571">
        <v>30</v>
      </c>
      <c r="E34" s="571">
        <v>30</v>
      </c>
      <c r="F34" s="571">
        <v>30</v>
      </c>
      <c r="G34" s="571">
        <v>30</v>
      </c>
      <c r="H34" s="571">
        <v>30</v>
      </c>
      <c r="I34" s="571">
        <v>30</v>
      </c>
      <c r="J34" s="571">
        <v>30</v>
      </c>
      <c r="K34" s="571">
        <v>30</v>
      </c>
      <c r="L34" s="571">
        <v>30</v>
      </c>
      <c r="M34" s="571">
        <v>30</v>
      </c>
      <c r="N34" s="572">
        <f t="shared" si="15"/>
        <v>30</v>
      </c>
      <c r="O34" s="573">
        <f t="shared" si="16"/>
        <v>360</v>
      </c>
      <c r="P34" s="574">
        <f>O34/O$57</f>
        <v>1.8922470433639947E-2</v>
      </c>
    </row>
    <row r="35" spans="1:16" s="570" customFormat="1" ht="21" x14ac:dyDescent="0.25">
      <c r="A35" s="570" t="s">
        <v>169</v>
      </c>
      <c r="B35" s="571">
        <v>50</v>
      </c>
      <c r="C35" s="571">
        <v>50</v>
      </c>
      <c r="D35" s="571">
        <v>50</v>
      </c>
      <c r="E35" s="571">
        <v>50</v>
      </c>
      <c r="F35" s="571">
        <v>50</v>
      </c>
      <c r="G35" s="571">
        <v>50</v>
      </c>
      <c r="H35" s="571">
        <v>50</v>
      </c>
      <c r="I35" s="571">
        <v>50</v>
      </c>
      <c r="J35" s="571">
        <v>50</v>
      </c>
      <c r="K35" s="571">
        <v>50</v>
      </c>
      <c r="L35" s="571">
        <v>50</v>
      </c>
      <c r="M35" s="571">
        <v>50</v>
      </c>
      <c r="N35" s="572">
        <f t="shared" si="15"/>
        <v>50</v>
      </c>
      <c r="O35" s="573">
        <f t="shared" si="16"/>
        <v>600</v>
      </c>
      <c r="P35" s="574">
        <f t="shared" ref="P35:P37" si="17">O35/O$57</f>
        <v>3.1537450722733243E-2</v>
      </c>
    </row>
    <row r="36" spans="1:16" s="570" customFormat="1" ht="21" x14ac:dyDescent="0.25">
      <c r="A36" s="570" t="s">
        <v>316</v>
      </c>
      <c r="B36" s="571">
        <v>100</v>
      </c>
      <c r="C36" s="571">
        <v>100</v>
      </c>
      <c r="D36" s="571">
        <v>100</v>
      </c>
      <c r="E36" s="571">
        <v>100</v>
      </c>
      <c r="F36" s="571">
        <v>100</v>
      </c>
      <c r="G36" s="571">
        <v>100</v>
      </c>
      <c r="H36" s="571">
        <v>100</v>
      </c>
      <c r="I36" s="571">
        <v>100</v>
      </c>
      <c r="J36" s="571">
        <v>100</v>
      </c>
      <c r="K36" s="571">
        <v>100</v>
      </c>
      <c r="L36" s="571">
        <v>100</v>
      </c>
      <c r="M36" s="571">
        <v>100</v>
      </c>
      <c r="N36" s="572">
        <f t="shared" si="15"/>
        <v>100</v>
      </c>
      <c r="O36" s="573">
        <f t="shared" si="16"/>
        <v>1200</v>
      </c>
      <c r="P36" s="574">
        <f t="shared" si="17"/>
        <v>6.3074901445466486E-2</v>
      </c>
    </row>
    <row r="37" spans="1:16" s="570" customFormat="1" ht="21" x14ac:dyDescent="0.25">
      <c r="A37" s="570" t="s">
        <v>186</v>
      </c>
      <c r="B37" s="571">
        <v>0</v>
      </c>
      <c r="C37" s="571">
        <v>0</v>
      </c>
      <c r="D37" s="571">
        <v>0</v>
      </c>
      <c r="E37" s="571">
        <v>0</v>
      </c>
      <c r="F37" s="571">
        <v>0</v>
      </c>
      <c r="G37" s="571">
        <v>0</v>
      </c>
      <c r="H37" s="571">
        <v>0</v>
      </c>
      <c r="I37" s="571">
        <v>0</v>
      </c>
      <c r="J37" s="571">
        <v>0</v>
      </c>
      <c r="K37" s="571">
        <v>0</v>
      </c>
      <c r="L37" s="571">
        <v>0</v>
      </c>
      <c r="M37" s="571">
        <v>0</v>
      </c>
      <c r="N37" s="572">
        <f t="shared" si="15"/>
        <v>0</v>
      </c>
      <c r="O37" s="573">
        <f t="shared" si="16"/>
        <v>0</v>
      </c>
      <c r="P37" s="574">
        <f t="shared" si="17"/>
        <v>0</v>
      </c>
    </row>
    <row r="38" spans="1:16" s="590" customFormat="1" ht="24" x14ac:dyDescent="0.3">
      <c r="A38" s="586" t="s">
        <v>170</v>
      </c>
      <c r="B38" s="587"/>
      <c r="C38" s="587"/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8">
        <f>SUM(N39:N48)</f>
        <v>361.66666666666663</v>
      </c>
      <c r="O38" s="588">
        <f>SUM(O39:O48)</f>
        <v>4340</v>
      </c>
      <c r="P38" s="589">
        <f>SUM(P39:P48)</f>
        <v>0.22812089356110382</v>
      </c>
    </row>
    <row r="39" spans="1:16" s="570" customFormat="1" ht="21" x14ac:dyDescent="0.25">
      <c r="A39" s="570" t="s">
        <v>317</v>
      </c>
      <c r="B39" s="571">
        <v>0</v>
      </c>
      <c r="C39" s="571">
        <v>0</v>
      </c>
      <c r="D39" s="571">
        <v>0</v>
      </c>
      <c r="E39" s="571">
        <v>0</v>
      </c>
      <c r="F39" s="571">
        <v>1300</v>
      </c>
      <c r="G39" s="571">
        <v>0</v>
      </c>
      <c r="H39" s="571">
        <v>0</v>
      </c>
      <c r="I39" s="571">
        <v>0</v>
      </c>
      <c r="J39" s="571">
        <v>1300</v>
      </c>
      <c r="K39" s="571">
        <v>0</v>
      </c>
      <c r="L39" s="571">
        <v>0</v>
      </c>
      <c r="M39" s="575">
        <v>0</v>
      </c>
      <c r="N39" s="572">
        <f>AVERAGE(B39:M39)</f>
        <v>216.66666666666666</v>
      </c>
      <c r="O39" s="573">
        <f>SUM(B39:M39)</f>
        <v>2600</v>
      </c>
      <c r="P39" s="574">
        <f t="shared" ref="P39:P48" si="18">O39/O$57</f>
        <v>0.13666228646517739</v>
      </c>
    </row>
    <row r="40" spans="1:16" s="570" customFormat="1" ht="21" x14ac:dyDescent="0.25">
      <c r="A40" s="570" t="s">
        <v>171</v>
      </c>
      <c r="B40" s="571">
        <v>75</v>
      </c>
      <c r="C40" s="571">
        <v>75</v>
      </c>
      <c r="D40" s="571">
        <v>75</v>
      </c>
      <c r="E40" s="571">
        <v>75</v>
      </c>
      <c r="F40" s="571">
        <v>75</v>
      </c>
      <c r="G40" s="571">
        <v>75</v>
      </c>
      <c r="H40" s="571">
        <v>75</v>
      </c>
      <c r="I40" s="571">
        <v>75</v>
      </c>
      <c r="J40" s="571">
        <v>75</v>
      </c>
      <c r="K40" s="571">
        <v>75</v>
      </c>
      <c r="L40" s="571">
        <v>75</v>
      </c>
      <c r="M40" s="571">
        <v>75</v>
      </c>
      <c r="N40" s="572">
        <f t="shared" ref="N40:N48" si="19">AVERAGE(B40:M40)</f>
        <v>75</v>
      </c>
      <c r="O40" s="573">
        <f t="shared" ref="O40:O48" si="20">SUM(B40:M40)</f>
        <v>900</v>
      </c>
      <c r="P40" s="574">
        <f t="shared" si="18"/>
        <v>4.7306176084099871E-2</v>
      </c>
    </row>
    <row r="41" spans="1:16" s="570" customFormat="1" ht="21" x14ac:dyDescent="0.25">
      <c r="A41" s="570" t="s">
        <v>172</v>
      </c>
      <c r="B41" s="571">
        <v>0</v>
      </c>
      <c r="C41" s="571">
        <v>0</v>
      </c>
      <c r="D41" s="571">
        <v>0</v>
      </c>
      <c r="E41" s="571">
        <v>0</v>
      </c>
      <c r="F41" s="571">
        <v>0</v>
      </c>
      <c r="G41" s="571">
        <v>0</v>
      </c>
      <c r="H41" s="571">
        <v>0</v>
      </c>
      <c r="I41" s="571">
        <v>0</v>
      </c>
      <c r="J41" s="571">
        <v>0</v>
      </c>
      <c r="K41" s="571">
        <v>0</v>
      </c>
      <c r="L41" s="571">
        <v>0</v>
      </c>
      <c r="M41" s="571">
        <v>0</v>
      </c>
      <c r="N41" s="572">
        <f t="shared" si="19"/>
        <v>0</v>
      </c>
      <c r="O41" s="573">
        <f t="shared" si="20"/>
        <v>0</v>
      </c>
      <c r="P41" s="574">
        <f t="shared" si="18"/>
        <v>0</v>
      </c>
    </row>
    <row r="42" spans="1:16" s="570" customFormat="1" ht="21" x14ac:dyDescent="0.25">
      <c r="A42" s="570" t="s">
        <v>188</v>
      </c>
      <c r="B42" s="571">
        <v>20</v>
      </c>
      <c r="C42" s="571">
        <v>20</v>
      </c>
      <c r="D42" s="571">
        <v>20</v>
      </c>
      <c r="E42" s="571">
        <v>20</v>
      </c>
      <c r="F42" s="571">
        <v>20</v>
      </c>
      <c r="G42" s="571">
        <v>20</v>
      </c>
      <c r="H42" s="571">
        <v>20</v>
      </c>
      <c r="I42" s="571">
        <v>20</v>
      </c>
      <c r="J42" s="571">
        <v>20</v>
      </c>
      <c r="K42" s="571">
        <v>20</v>
      </c>
      <c r="L42" s="571">
        <v>20</v>
      </c>
      <c r="M42" s="571">
        <v>20</v>
      </c>
      <c r="N42" s="572">
        <f t="shared" si="19"/>
        <v>20</v>
      </c>
      <c r="O42" s="573">
        <f t="shared" si="20"/>
        <v>240</v>
      </c>
      <c r="P42" s="574">
        <f t="shared" si="18"/>
        <v>1.2614980289093298E-2</v>
      </c>
    </row>
    <row r="43" spans="1:16" s="570" customFormat="1" ht="21" x14ac:dyDescent="0.25">
      <c r="A43" s="570" t="s">
        <v>174</v>
      </c>
      <c r="B43" s="571">
        <v>0</v>
      </c>
      <c r="C43" s="571">
        <v>0</v>
      </c>
      <c r="D43" s="571">
        <v>0</v>
      </c>
      <c r="E43" s="571">
        <v>0</v>
      </c>
      <c r="F43" s="571">
        <v>0</v>
      </c>
      <c r="G43" s="571">
        <v>0</v>
      </c>
      <c r="H43" s="571">
        <v>0</v>
      </c>
      <c r="I43" s="571">
        <v>0</v>
      </c>
      <c r="J43" s="571">
        <v>0</v>
      </c>
      <c r="K43" s="571">
        <v>0</v>
      </c>
      <c r="L43" s="571">
        <v>0</v>
      </c>
      <c r="M43" s="571">
        <v>0</v>
      </c>
      <c r="N43" s="572">
        <f t="shared" si="19"/>
        <v>0</v>
      </c>
      <c r="O43" s="573">
        <f t="shared" si="20"/>
        <v>0</v>
      </c>
      <c r="P43" s="574">
        <f t="shared" si="18"/>
        <v>0</v>
      </c>
    </row>
    <row r="44" spans="1:16" s="570" customFormat="1" ht="21" x14ac:dyDescent="0.25">
      <c r="A44" s="570" t="s">
        <v>175</v>
      </c>
      <c r="B44" s="571">
        <v>0</v>
      </c>
      <c r="C44" s="571">
        <v>0</v>
      </c>
      <c r="D44" s="571">
        <v>0</v>
      </c>
      <c r="E44" s="571">
        <v>0</v>
      </c>
      <c r="F44" s="571">
        <v>0</v>
      </c>
      <c r="G44" s="571">
        <v>0</v>
      </c>
      <c r="H44" s="571">
        <v>0</v>
      </c>
      <c r="I44" s="571">
        <v>0</v>
      </c>
      <c r="J44" s="571">
        <v>0</v>
      </c>
      <c r="K44" s="571">
        <v>0</v>
      </c>
      <c r="L44" s="571">
        <v>0</v>
      </c>
      <c r="M44" s="571">
        <v>0</v>
      </c>
      <c r="N44" s="572">
        <f t="shared" si="19"/>
        <v>0</v>
      </c>
      <c r="O44" s="573">
        <f t="shared" si="20"/>
        <v>0</v>
      </c>
      <c r="P44" s="574">
        <f t="shared" si="18"/>
        <v>0</v>
      </c>
    </row>
    <row r="45" spans="1:16" s="570" customFormat="1" ht="21" x14ac:dyDescent="0.25">
      <c r="A45" s="570" t="s">
        <v>176</v>
      </c>
      <c r="B45" s="571">
        <v>0</v>
      </c>
      <c r="C45" s="571">
        <v>0</v>
      </c>
      <c r="D45" s="571">
        <v>0</v>
      </c>
      <c r="E45" s="571">
        <v>0</v>
      </c>
      <c r="F45" s="571">
        <v>0</v>
      </c>
      <c r="G45" s="571">
        <v>0</v>
      </c>
      <c r="H45" s="571">
        <v>0</v>
      </c>
      <c r="I45" s="571">
        <v>0</v>
      </c>
      <c r="J45" s="571">
        <v>0</v>
      </c>
      <c r="K45" s="571">
        <v>0</v>
      </c>
      <c r="L45" s="571">
        <v>0</v>
      </c>
      <c r="M45" s="571">
        <v>0</v>
      </c>
      <c r="N45" s="572">
        <f t="shared" si="19"/>
        <v>0</v>
      </c>
      <c r="O45" s="573">
        <f t="shared" si="20"/>
        <v>0</v>
      </c>
      <c r="P45" s="574">
        <f t="shared" si="18"/>
        <v>0</v>
      </c>
    </row>
    <row r="46" spans="1:16" s="570" customFormat="1" ht="21" x14ac:dyDescent="0.25">
      <c r="A46" s="570" t="s">
        <v>318</v>
      </c>
      <c r="B46" s="571">
        <v>50</v>
      </c>
      <c r="C46" s="571">
        <v>50</v>
      </c>
      <c r="D46" s="571">
        <v>50</v>
      </c>
      <c r="E46" s="571">
        <v>50</v>
      </c>
      <c r="F46" s="571">
        <v>50</v>
      </c>
      <c r="G46" s="571">
        <v>50</v>
      </c>
      <c r="H46" s="571">
        <v>50</v>
      </c>
      <c r="I46" s="571">
        <v>50</v>
      </c>
      <c r="J46" s="571">
        <v>50</v>
      </c>
      <c r="K46" s="571">
        <v>50</v>
      </c>
      <c r="L46" s="571">
        <v>50</v>
      </c>
      <c r="M46" s="571">
        <v>50</v>
      </c>
      <c r="N46" s="572">
        <f t="shared" si="19"/>
        <v>50</v>
      </c>
      <c r="O46" s="573">
        <f t="shared" si="20"/>
        <v>600</v>
      </c>
      <c r="P46" s="574">
        <f t="shared" si="18"/>
        <v>3.1537450722733243E-2</v>
      </c>
    </row>
    <row r="47" spans="1:16" s="570" customFormat="1" ht="21" x14ac:dyDescent="0.25">
      <c r="A47" s="570" t="s">
        <v>319</v>
      </c>
      <c r="B47" s="571">
        <v>0</v>
      </c>
      <c r="C47" s="571">
        <v>0</v>
      </c>
      <c r="D47" s="571">
        <v>0</v>
      </c>
      <c r="E47" s="571">
        <v>0</v>
      </c>
      <c r="F47" s="571">
        <v>0</v>
      </c>
      <c r="G47" s="571">
        <v>0</v>
      </c>
      <c r="H47" s="571">
        <v>0</v>
      </c>
      <c r="I47" s="571">
        <v>0</v>
      </c>
      <c r="J47" s="571">
        <v>0</v>
      </c>
      <c r="K47" s="571">
        <v>0</v>
      </c>
      <c r="L47" s="571">
        <v>0</v>
      </c>
      <c r="M47" s="571">
        <v>0</v>
      </c>
      <c r="N47" s="572">
        <f t="shared" si="19"/>
        <v>0</v>
      </c>
      <c r="O47" s="573">
        <f t="shared" si="20"/>
        <v>0</v>
      </c>
      <c r="P47" s="574">
        <f t="shared" si="18"/>
        <v>0</v>
      </c>
    </row>
    <row r="48" spans="1:16" s="570" customFormat="1" ht="21" x14ac:dyDescent="0.25">
      <c r="A48" s="570" t="s">
        <v>186</v>
      </c>
      <c r="B48" s="571">
        <v>0</v>
      </c>
      <c r="C48" s="571">
        <v>0</v>
      </c>
      <c r="D48" s="571">
        <v>0</v>
      </c>
      <c r="E48" s="571">
        <v>0</v>
      </c>
      <c r="F48" s="571">
        <v>0</v>
      </c>
      <c r="G48" s="571">
        <v>0</v>
      </c>
      <c r="H48" s="571">
        <v>0</v>
      </c>
      <c r="I48" s="571">
        <v>0</v>
      </c>
      <c r="J48" s="571">
        <v>0</v>
      </c>
      <c r="K48" s="571">
        <v>0</v>
      </c>
      <c r="L48" s="571">
        <v>0</v>
      </c>
      <c r="M48" s="571">
        <v>0</v>
      </c>
      <c r="N48" s="572">
        <f t="shared" si="19"/>
        <v>0</v>
      </c>
      <c r="O48" s="573">
        <f t="shared" si="20"/>
        <v>0</v>
      </c>
      <c r="P48" s="574">
        <f t="shared" si="18"/>
        <v>0</v>
      </c>
    </row>
    <row r="49" spans="1:16" s="590" customFormat="1" ht="24" x14ac:dyDescent="0.3">
      <c r="A49" s="586" t="s">
        <v>177</v>
      </c>
      <c r="B49" s="587"/>
      <c r="C49" s="587"/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8">
        <f>SUM(N50:N52)</f>
        <v>0</v>
      </c>
      <c r="O49" s="588">
        <f>SUM(O50:O52)</f>
        <v>0</v>
      </c>
      <c r="P49" s="589">
        <f>SUM(P50:P52)</f>
        <v>0</v>
      </c>
    </row>
    <row r="50" spans="1:16" s="570" customFormat="1" ht="21" x14ac:dyDescent="0.25">
      <c r="A50" s="570" t="s">
        <v>178</v>
      </c>
      <c r="B50" s="571">
        <v>0</v>
      </c>
      <c r="C50" s="571">
        <v>0</v>
      </c>
      <c r="D50" s="571">
        <v>0</v>
      </c>
      <c r="E50" s="571">
        <v>0</v>
      </c>
      <c r="F50" s="571">
        <v>0</v>
      </c>
      <c r="G50" s="571">
        <v>0</v>
      </c>
      <c r="H50" s="571">
        <v>0</v>
      </c>
      <c r="I50" s="571">
        <v>0</v>
      </c>
      <c r="J50" s="571">
        <v>0</v>
      </c>
      <c r="K50" s="571">
        <v>0</v>
      </c>
      <c r="L50" s="571">
        <v>0</v>
      </c>
      <c r="M50" s="571">
        <v>0</v>
      </c>
      <c r="N50" s="572">
        <f>AVERAGE(B50:M50)</f>
        <v>0</v>
      </c>
      <c r="O50" s="573">
        <f>SUM(B50:M50)</f>
        <v>0</v>
      </c>
      <c r="P50" s="574">
        <f t="shared" ref="P50:P52" si="21">O50/O$57</f>
        <v>0</v>
      </c>
    </row>
    <row r="51" spans="1:16" s="570" customFormat="1" ht="21" x14ac:dyDescent="0.25">
      <c r="A51" s="570" t="s">
        <v>320</v>
      </c>
      <c r="B51" s="571">
        <v>0</v>
      </c>
      <c r="C51" s="571">
        <v>0</v>
      </c>
      <c r="D51" s="571">
        <v>0</v>
      </c>
      <c r="E51" s="571">
        <v>0</v>
      </c>
      <c r="F51" s="571">
        <v>0</v>
      </c>
      <c r="G51" s="571">
        <v>0</v>
      </c>
      <c r="H51" s="571">
        <v>0</v>
      </c>
      <c r="I51" s="571">
        <v>0</v>
      </c>
      <c r="J51" s="571">
        <v>0</v>
      </c>
      <c r="K51" s="571">
        <v>0</v>
      </c>
      <c r="L51" s="571">
        <v>0</v>
      </c>
      <c r="M51" s="571">
        <v>0</v>
      </c>
      <c r="N51" s="572">
        <f t="shared" ref="N51:N52" si="22">AVERAGE(B51:M51)</f>
        <v>0</v>
      </c>
      <c r="O51" s="573">
        <f t="shared" ref="O51:O52" si="23">SUM(B51:M51)</f>
        <v>0</v>
      </c>
      <c r="P51" s="574">
        <f t="shared" si="21"/>
        <v>0</v>
      </c>
    </row>
    <row r="52" spans="1:16" s="570" customFormat="1" ht="21" x14ac:dyDescent="0.25">
      <c r="A52" s="570" t="s">
        <v>186</v>
      </c>
      <c r="B52" s="571">
        <v>0</v>
      </c>
      <c r="C52" s="571">
        <v>0</v>
      </c>
      <c r="D52" s="571">
        <v>0</v>
      </c>
      <c r="E52" s="571">
        <v>0</v>
      </c>
      <c r="F52" s="571">
        <v>0</v>
      </c>
      <c r="G52" s="571">
        <v>0</v>
      </c>
      <c r="H52" s="571">
        <v>0</v>
      </c>
      <c r="I52" s="571">
        <v>0</v>
      </c>
      <c r="J52" s="571">
        <v>0</v>
      </c>
      <c r="K52" s="571">
        <v>0</v>
      </c>
      <c r="L52" s="571">
        <v>0</v>
      </c>
      <c r="M52" s="571">
        <v>0</v>
      </c>
      <c r="N52" s="572">
        <f t="shared" si="22"/>
        <v>0</v>
      </c>
      <c r="O52" s="573">
        <f t="shared" si="23"/>
        <v>0</v>
      </c>
      <c r="P52" s="574">
        <f t="shared" si="21"/>
        <v>0</v>
      </c>
    </row>
    <row r="53" spans="1:16" s="590" customFormat="1" ht="24" x14ac:dyDescent="0.3">
      <c r="A53" s="586" t="s">
        <v>179</v>
      </c>
      <c r="B53" s="587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8">
        <f>SUM(N54:N56)</f>
        <v>0</v>
      </c>
      <c r="O53" s="588">
        <f>SUM(O54:O56)</f>
        <v>0</v>
      </c>
      <c r="P53" s="589">
        <f>SUM(P54:P56)</f>
        <v>0</v>
      </c>
    </row>
    <row r="54" spans="1:16" s="570" customFormat="1" ht="21" x14ac:dyDescent="0.25">
      <c r="A54" s="570" t="s">
        <v>181</v>
      </c>
      <c r="B54" s="571">
        <v>0</v>
      </c>
      <c r="C54" s="571">
        <v>0</v>
      </c>
      <c r="D54" s="571">
        <v>0</v>
      </c>
      <c r="E54" s="571">
        <v>0</v>
      </c>
      <c r="F54" s="571">
        <v>0</v>
      </c>
      <c r="G54" s="571">
        <v>0</v>
      </c>
      <c r="H54" s="571">
        <v>0</v>
      </c>
      <c r="I54" s="571">
        <v>0</v>
      </c>
      <c r="J54" s="571">
        <v>0</v>
      </c>
      <c r="K54" s="571">
        <v>0</v>
      </c>
      <c r="L54" s="571">
        <v>0</v>
      </c>
      <c r="M54" s="571">
        <v>0</v>
      </c>
      <c r="N54" s="572">
        <f>AVERAGE(B54:M54)</f>
        <v>0</v>
      </c>
      <c r="O54" s="573">
        <f>SUM(B54:M54)</f>
        <v>0</v>
      </c>
      <c r="P54" s="574">
        <f t="shared" ref="P54:P56" si="24">O54/O$57</f>
        <v>0</v>
      </c>
    </row>
    <row r="55" spans="1:16" s="570" customFormat="1" ht="21" x14ac:dyDescent="0.25">
      <c r="A55" s="570" t="s">
        <v>321</v>
      </c>
      <c r="B55" s="571">
        <v>0</v>
      </c>
      <c r="C55" s="571">
        <v>0</v>
      </c>
      <c r="D55" s="571">
        <v>0</v>
      </c>
      <c r="E55" s="571">
        <v>0</v>
      </c>
      <c r="F55" s="571">
        <v>0</v>
      </c>
      <c r="G55" s="571">
        <v>0</v>
      </c>
      <c r="H55" s="571">
        <v>0</v>
      </c>
      <c r="I55" s="571">
        <v>0</v>
      </c>
      <c r="J55" s="571">
        <v>0</v>
      </c>
      <c r="K55" s="571">
        <v>0</v>
      </c>
      <c r="L55" s="571">
        <v>0</v>
      </c>
      <c r="M55" s="571">
        <v>0</v>
      </c>
      <c r="N55" s="572">
        <f t="shared" ref="N55:N56" si="25">AVERAGE(B55:M55)</f>
        <v>0</v>
      </c>
      <c r="O55" s="573">
        <f t="shared" ref="O55:O56" si="26">SUM(B55:M55)</f>
        <v>0</v>
      </c>
      <c r="P55" s="574">
        <f t="shared" si="24"/>
        <v>0</v>
      </c>
    </row>
    <row r="56" spans="1:16" s="570" customFormat="1" ht="21" x14ac:dyDescent="0.25">
      <c r="A56" s="570" t="s">
        <v>186</v>
      </c>
      <c r="B56" s="571">
        <v>0</v>
      </c>
      <c r="C56" s="571">
        <v>0</v>
      </c>
      <c r="D56" s="571">
        <v>0</v>
      </c>
      <c r="E56" s="571">
        <v>0</v>
      </c>
      <c r="F56" s="571">
        <v>0</v>
      </c>
      <c r="G56" s="571">
        <v>0</v>
      </c>
      <c r="H56" s="571">
        <v>0</v>
      </c>
      <c r="I56" s="571">
        <v>0</v>
      </c>
      <c r="J56" s="571">
        <v>0</v>
      </c>
      <c r="K56" s="571">
        <v>0</v>
      </c>
      <c r="L56" s="571">
        <v>0</v>
      </c>
      <c r="M56" s="571">
        <v>0</v>
      </c>
      <c r="N56" s="572">
        <f t="shared" si="25"/>
        <v>0</v>
      </c>
      <c r="O56" s="573">
        <f t="shared" si="26"/>
        <v>0</v>
      </c>
      <c r="P56" s="574">
        <f t="shared" si="24"/>
        <v>0</v>
      </c>
    </row>
    <row r="57" spans="1:16" s="568" customFormat="1" ht="21" x14ac:dyDescent="0.25">
      <c r="A57" s="576" t="s">
        <v>195</v>
      </c>
      <c r="B57" s="577">
        <f t="shared" ref="B57:M57" si="27">SUM(B14:B56)</f>
        <v>1825</v>
      </c>
      <c r="C57" s="577">
        <f t="shared" si="27"/>
        <v>1825</v>
      </c>
      <c r="D57" s="577">
        <f t="shared" si="27"/>
        <v>1825</v>
      </c>
      <c r="E57" s="577">
        <f t="shared" si="27"/>
        <v>1825</v>
      </c>
      <c r="F57" s="577">
        <f t="shared" si="27"/>
        <v>3125</v>
      </c>
      <c r="G57" s="577">
        <f t="shared" si="27"/>
        <v>1825</v>
      </c>
      <c r="H57" s="577">
        <f t="shared" si="27"/>
        <v>1825</v>
      </c>
      <c r="I57" s="577">
        <f t="shared" si="27"/>
        <v>1825</v>
      </c>
      <c r="J57" s="577">
        <f t="shared" si="27"/>
        <v>3125</v>
      </c>
      <c r="K57" s="577">
        <f t="shared" si="27"/>
        <v>1825</v>
      </c>
      <c r="L57" s="577">
        <f t="shared" si="27"/>
        <v>1825</v>
      </c>
      <c r="M57" s="577">
        <f t="shared" si="27"/>
        <v>1825</v>
      </c>
      <c r="N57" s="578">
        <f>AVERAGE(E57:M57)</f>
        <v>2113.8888888888887</v>
      </c>
      <c r="O57" s="578">
        <f>SUM(E57:M57)</f>
        <v>19025</v>
      </c>
      <c r="P57" s="579"/>
    </row>
    <row r="58" spans="1:16" s="580" customFormat="1" ht="21" x14ac:dyDescent="0.25">
      <c r="B58" s="581"/>
      <c r="C58" s="581"/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3"/>
      <c r="O58" s="583"/>
    </row>
    <row r="59" spans="1:16" s="595" customFormat="1" ht="21" x14ac:dyDescent="0.25">
      <c r="A59" s="591" t="s">
        <v>196</v>
      </c>
      <c r="B59" s="592">
        <f t="shared" ref="B59:M59" si="28">B10-B57</f>
        <v>675</v>
      </c>
      <c r="C59" s="592">
        <f t="shared" si="28"/>
        <v>-325</v>
      </c>
      <c r="D59" s="592">
        <f t="shared" si="28"/>
        <v>-826</v>
      </c>
      <c r="E59" s="592">
        <f t="shared" si="28"/>
        <v>-826</v>
      </c>
      <c r="F59" s="592">
        <f t="shared" si="28"/>
        <v>-2126</v>
      </c>
      <c r="G59" s="592">
        <f t="shared" si="28"/>
        <v>-826</v>
      </c>
      <c r="H59" s="592">
        <f t="shared" si="28"/>
        <v>-826</v>
      </c>
      <c r="I59" s="592">
        <f t="shared" si="28"/>
        <v>-826</v>
      </c>
      <c r="J59" s="592">
        <f t="shared" si="28"/>
        <v>-2126</v>
      </c>
      <c r="K59" s="592">
        <f t="shared" si="28"/>
        <v>-826</v>
      </c>
      <c r="L59" s="592">
        <f t="shared" si="28"/>
        <v>-826</v>
      </c>
      <c r="M59" s="592">
        <f t="shared" si="28"/>
        <v>-826</v>
      </c>
      <c r="N59" s="593">
        <f>AVERAGE(E59:M59)</f>
        <v>-1114.8888888888889</v>
      </c>
      <c r="O59" s="594">
        <f>+O10-O57</f>
        <v>-5035</v>
      </c>
    </row>
    <row r="60" spans="1:16" s="596" customFormat="1" ht="21" hidden="1" x14ac:dyDescent="0.25">
      <c r="A60" s="596" t="s">
        <v>322</v>
      </c>
      <c r="B60" s="597">
        <f t="shared" ref="B60:M60" si="29">IF(B59&lt;0,B59,0)</f>
        <v>0</v>
      </c>
      <c r="C60" s="597">
        <f t="shared" si="29"/>
        <v>-325</v>
      </c>
      <c r="D60" s="597">
        <f t="shared" si="29"/>
        <v>-826</v>
      </c>
      <c r="E60" s="597">
        <f t="shared" si="29"/>
        <v>-826</v>
      </c>
      <c r="F60" s="597">
        <f t="shared" si="29"/>
        <v>-2126</v>
      </c>
      <c r="G60" s="597">
        <f t="shared" si="29"/>
        <v>-826</v>
      </c>
      <c r="H60" s="597">
        <f t="shared" si="29"/>
        <v>-826</v>
      </c>
      <c r="I60" s="597">
        <f t="shared" si="29"/>
        <v>-826</v>
      </c>
      <c r="J60" s="597">
        <f t="shared" si="29"/>
        <v>-2126</v>
      </c>
      <c r="K60" s="597">
        <f t="shared" si="29"/>
        <v>-826</v>
      </c>
      <c r="L60" s="597">
        <f t="shared" si="29"/>
        <v>-826</v>
      </c>
      <c r="M60" s="597">
        <f t="shared" si="29"/>
        <v>-826</v>
      </c>
    </row>
    <row r="61" spans="1:16" s="596" customFormat="1" ht="21" x14ac:dyDescent="0.25">
      <c r="A61" s="596" t="s">
        <v>323</v>
      </c>
      <c r="B61" s="597">
        <f t="shared" ref="B61:M61" si="30">IF(B59&gt;0,B59,0)</f>
        <v>675</v>
      </c>
      <c r="C61" s="597">
        <f t="shared" si="30"/>
        <v>0</v>
      </c>
      <c r="D61" s="597">
        <f t="shared" si="30"/>
        <v>0</v>
      </c>
      <c r="E61" s="597">
        <f t="shared" si="30"/>
        <v>0</v>
      </c>
      <c r="F61" s="597">
        <f t="shared" si="30"/>
        <v>0</v>
      </c>
      <c r="G61" s="597">
        <f t="shared" si="30"/>
        <v>0</v>
      </c>
      <c r="H61" s="597">
        <f t="shared" si="30"/>
        <v>0</v>
      </c>
      <c r="I61" s="597">
        <f t="shared" si="30"/>
        <v>0</v>
      </c>
      <c r="J61" s="597">
        <f t="shared" si="30"/>
        <v>0</v>
      </c>
      <c r="K61" s="597">
        <f t="shared" si="30"/>
        <v>0</v>
      </c>
      <c r="L61" s="597">
        <f t="shared" si="30"/>
        <v>0</v>
      </c>
      <c r="M61" s="597">
        <f t="shared" si="30"/>
        <v>0</v>
      </c>
    </row>
    <row r="62" spans="1:16" s="595" customFormat="1" ht="21" x14ac:dyDescent="0.25">
      <c r="A62" s="591" t="s">
        <v>197</v>
      </c>
      <c r="B62" s="593">
        <f>A65+B59</f>
        <v>10675</v>
      </c>
      <c r="C62" s="593">
        <f t="shared" ref="C62:L62" si="31">+B62+C59</f>
        <v>10350</v>
      </c>
      <c r="D62" s="593">
        <f t="shared" si="31"/>
        <v>9524</v>
      </c>
      <c r="E62" s="593">
        <f t="shared" si="31"/>
        <v>8698</v>
      </c>
      <c r="F62" s="593">
        <f t="shared" si="31"/>
        <v>6572</v>
      </c>
      <c r="G62" s="593">
        <f>+F62+G59</f>
        <v>5746</v>
      </c>
      <c r="H62" s="593">
        <f t="shared" si="31"/>
        <v>4920</v>
      </c>
      <c r="I62" s="593">
        <f t="shared" si="31"/>
        <v>4094</v>
      </c>
      <c r="J62" s="593">
        <f t="shared" si="31"/>
        <v>1968</v>
      </c>
      <c r="K62" s="593">
        <f t="shared" si="31"/>
        <v>1142</v>
      </c>
      <c r="L62" s="593">
        <f t="shared" si="31"/>
        <v>316</v>
      </c>
      <c r="M62" s="593">
        <f>+L62+M59</f>
        <v>-510</v>
      </c>
      <c r="N62" s="593"/>
      <c r="O62" s="594"/>
    </row>
    <row r="63" spans="1:16" s="580" customFormat="1" ht="21" x14ac:dyDescent="0.25">
      <c r="A63" s="598"/>
      <c r="B63" s="582"/>
      <c r="C63" s="582"/>
      <c r="D63" s="582"/>
      <c r="E63" s="582"/>
      <c r="F63" s="582"/>
      <c r="G63" s="582"/>
      <c r="H63" s="582"/>
      <c r="I63" s="582"/>
      <c r="J63" s="582"/>
      <c r="K63" s="582"/>
      <c r="L63" s="582"/>
      <c r="M63" s="582"/>
    </row>
    <row r="64" spans="1:16" s="580" customFormat="1" ht="44" x14ac:dyDescent="0.25">
      <c r="A64" s="599" t="s">
        <v>324</v>
      </c>
    </row>
    <row r="65" spans="1:1" s="580" customFormat="1" ht="29" x14ac:dyDescent="0.35">
      <c r="A65" s="600">
        <v>10000</v>
      </c>
    </row>
  </sheetData>
  <sheetProtection selectLockedCells="1"/>
  <conditionalFormatting sqref="B59:M59">
    <cfRule type="cellIs" dxfId="39" priority="7" operator="greaterThan">
      <formula>0</formula>
    </cfRule>
    <cfRule type="cellIs" dxfId="38" priority="8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45D7-78E7-4737-9B26-191954D5B146}">
  <sheetPr codeName="Feuil19"/>
  <dimension ref="A1:Q32"/>
  <sheetViews>
    <sheetView workbookViewId="0">
      <selection activeCell="F3" sqref="F3"/>
    </sheetView>
  </sheetViews>
  <sheetFormatPr baseColWidth="10" defaultColWidth="0" defaultRowHeight="15" customHeight="1" zeroHeight="1" x14ac:dyDescent="0.2"/>
  <cols>
    <col min="1" max="17" width="11.3984375" style="602" customWidth="1"/>
    <col min="18" max="16384" width="11.3984375" style="602" hidden="1"/>
  </cols>
  <sheetData>
    <row r="1" s="602" customFormat="1" x14ac:dyDescent="0.2"/>
    <row r="2" s="602" customFormat="1" x14ac:dyDescent="0.2"/>
    <row r="3" s="602" customFormat="1" x14ac:dyDescent="0.2"/>
    <row r="4" s="602" customFormat="1" x14ac:dyDescent="0.2"/>
    <row r="5" s="602" customFormat="1" x14ac:dyDescent="0.2"/>
    <row r="6" s="602" customFormat="1" x14ac:dyDescent="0.2"/>
    <row r="7" s="602" customFormat="1" x14ac:dyDescent="0.2"/>
    <row r="8" s="602" customFormat="1" x14ac:dyDescent="0.2"/>
    <row r="9" s="602" customFormat="1" x14ac:dyDescent="0.2"/>
    <row r="10" s="602" customFormat="1" x14ac:dyDescent="0.2"/>
    <row r="11" s="602" customFormat="1" x14ac:dyDescent="0.2"/>
    <row r="12" s="602" customFormat="1" x14ac:dyDescent="0.2"/>
    <row r="13" s="602" customFormat="1" x14ac:dyDescent="0.2"/>
    <row r="14" s="602" customFormat="1" x14ac:dyDescent="0.2"/>
    <row r="15" s="602" customFormat="1" x14ac:dyDescent="0.2"/>
    <row r="16" s="602" customFormat="1" x14ac:dyDescent="0.2"/>
    <row r="17" s="602" customFormat="1" x14ac:dyDescent="0.2"/>
    <row r="18" s="602" customFormat="1" x14ac:dyDescent="0.2"/>
    <row r="19" s="602" customFormat="1" x14ac:dyDescent="0.2"/>
    <row r="20" s="602" customFormat="1" x14ac:dyDescent="0.2"/>
    <row r="21" s="602" customFormat="1" x14ac:dyDescent="0.2"/>
    <row r="22" s="602" customFormat="1" x14ac:dyDescent="0.2"/>
    <row r="23" s="602" customFormat="1" x14ac:dyDescent="0.2"/>
    <row r="24" s="602" customFormat="1" x14ac:dyDescent="0.2"/>
    <row r="25" s="602" customFormat="1" x14ac:dyDescent="0.2"/>
    <row r="26" s="602" customFormat="1" x14ac:dyDescent="0.2"/>
    <row r="27" s="602" customFormat="1" x14ac:dyDescent="0.2"/>
    <row r="28" s="602" customFormat="1" x14ac:dyDescent="0.2"/>
    <row r="29" s="602" customFormat="1" x14ac:dyDescent="0.2"/>
    <row r="30" s="602" customFormat="1" x14ac:dyDescent="0.2"/>
    <row r="31" s="602" customFormat="1" x14ac:dyDescent="0.2"/>
    <row r="32" s="602" customFormat="1" x14ac:dyDescent="0.2"/>
  </sheetData>
  <sheetProtection algorithmName="SHA-512" hashValue="OUHe55TU+WcqjokdMyXqm/27gMYuo4x+migzuuEXYXz2GaNeC3NAmgHe6BA8TJKeUkGThk0eZK2ezAQj/hrlKQ==" saltValue="gBl8Wyozb1WDnXWRqearZA==" spinCount="100000" sheet="1" objects="1" scenarios="1" selectLockedCells="1" selectUnlockedCells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6966-2CDA-4F5F-9B60-AC0697DEF267}">
  <sheetPr codeName="Feuil20">
    <pageSetUpPr fitToPage="1"/>
  </sheetPr>
  <dimension ref="A1:XFC81"/>
  <sheetViews>
    <sheetView zoomScaleNormal="100" workbookViewId="0">
      <selection activeCell="D17" sqref="D17"/>
    </sheetView>
  </sheetViews>
  <sheetFormatPr baseColWidth="10" defaultColWidth="0" defaultRowHeight="15" customHeight="1" zeroHeight="1" x14ac:dyDescent="0.2"/>
  <cols>
    <col min="1" max="1" width="6.59765625" style="393" customWidth="1"/>
    <col min="2" max="2" width="6.3984375" style="393" customWidth="1"/>
    <col min="3" max="3" width="7.59765625" style="393" customWidth="1"/>
    <col min="4" max="4" width="9.796875" style="393" customWidth="1"/>
    <col min="5" max="5" width="0.796875" style="393" customWidth="1"/>
    <col min="6" max="6" width="11.19921875" style="393" bestFit="1" customWidth="1"/>
    <col min="7" max="7" width="10.59765625" style="393" bestFit="1" customWidth="1"/>
    <col min="8" max="8" width="14.796875" style="393" bestFit="1" customWidth="1"/>
    <col min="9" max="9" width="8.59765625" style="393" customWidth="1"/>
    <col min="10" max="10" width="9.59765625" style="393" customWidth="1"/>
    <col min="11" max="11" width="14.59765625" style="393" bestFit="1" customWidth="1"/>
    <col min="12" max="12" width="21.796875" style="393" bestFit="1" customWidth="1"/>
    <col min="13" max="13" width="1" style="394" customWidth="1"/>
    <col min="14" max="14" width="12" style="393" customWidth="1"/>
    <col min="15" max="15" width="14" style="392" hidden="1"/>
    <col min="16" max="16" width="3.3984375" style="392" hidden="1"/>
    <col min="17" max="17" width="11.3984375" style="392" hidden="1"/>
    <col min="18" max="18" width="24" style="392" hidden="1"/>
    <col min="19" max="16383" width="11.3984375" style="392" hidden="1"/>
    <col min="16384" max="16384" width="3.796875" style="392" hidden="1"/>
  </cols>
  <sheetData>
    <row r="1" spans="1:14" ht="16" x14ac:dyDescent="0.2">
      <c r="A1" s="856" t="s">
        <v>419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</row>
    <row r="2" spans="1:14" ht="16" x14ac:dyDescent="0.2"/>
    <row r="3" spans="1:14" ht="16" x14ac:dyDescent="0.2">
      <c r="A3" s="393" t="s">
        <v>420</v>
      </c>
      <c r="F3" s="395">
        <v>30</v>
      </c>
      <c r="G3" s="396" t="s">
        <v>421</v>
      </c>
    </row>
    <row r="4" spans="1:14" ht="16" x14ac:dyDescent="0.2">
      <c r="A4" s="393" t="s">
        <v>422</v>
      </c>
      <c r="F4" s="397">
        <v>0.03</v>
      </c>
    </row>
    <row r="5" spans="1:14" ht="16" x14ac:dyDescent="0.2">
      <c r="A5" s="393" t="s">
        <v>423</v>
      </c>
      <c r="F5" s="397">
        <v>8.0000000000000002E-3</v>
      </c>
    </row>
    <row r="6" spans="1:14" ht="16" x14ac:dyDescent="0.2">
      <c r="A6" s="393" t="s">
        <v>424</v>
      </c>
      <c r="F6" s="398">
        <v>300000</v>
      </c>
    </row>
    <row r="7" spans="1:14" ht="16" x14ac:dyDescent="0.2"/>
    <row r="8" spans="1:14" ht="16" x14ac:dyDescent="0.2">
      <c r="A8" s="399" t="s">
        <v>425</v>
      </c>
      <c r="B8" s="399"/>
      <c r="C8" s="399"/>
      <c r="D8" s="399"/>
      <c r="E8" s="399"/>
      <c r="F8" s="399"/>
      <c r="G8" s="399"/>
      <c r="H8" s="399"/>
      <c r="I8" s="399"/>
    </row>
    <row r="9" spans="1:14" ht="15" customHeight="1" x14ac:dyDescent="0.2">
      <c r="H9" s="400" t="s">
        <v>426</v>
      </c>
      <c r="K9" s="400" t="s">
        <v>427</v>
      </c>
    </row>
    <row r="10" spans="1:14" ht="7.5" customHeight="1" x14ac:dyDescent="0.2">
      <c r="G10" s="401"/>
      <c r="M10" s="400"/>
    </row>
    <row r="11" spans="1:14" ht="16" x14ac:dyDescent="0.2">
      <c r="A11" s="393" t="s">
        <v>428</v>
      </c>
      <c r="H11" s="402">
        <f>F4</f>
        <v>0.03</v>
      </c>
      <c r="K11" s="402">
        <f>H11+F5</f>
        <v>3.7999999999999999E-2</v>
      </c>
    </row>
    <row r="12" spans="1:14" ht="6.75" customHeight="1" x14ac:dyDescent="0.2">
      <c r="A12" s="394"/>
      <c r="B12" s="394"/>
      <c r="C12" s="394"/>
      <c r="D12" s="394"/>
      <c r="E12" s="394"/>
      <c r="F12" s="394"/>
      <c r="I12" s="394"/>
      <c r="J12" s="394"/>
    </row>
    <row r="13" spans="1:14" ht="16" x14ac:dyDescent="0.2">
      <c r="A13" s="403" t="str">
        <f>"Paiement " &amp;VLOOKUP(G3,'Coût ass. hypotécaire CALCUL'!$Q$29:$R$32,2,FALSE)&amp;" :"</f>
        <v>Paiement mensuel x 12 :</v>
      </c>
      <c r="B13" s="403"/>
      <c r="C13" s="403"/>
      <c r="D13" s="403"/>
      <c r="E13" s="403"/>
      <c r="F13" s="403"/>
      <c r="G13" s="404" t="s">
        <v>429</v>
      </c>
      <c r="H13" s="405">
        <f>IF(G3="années",'Coût ass. hypotécaire CALCUL'!M32,'Coût ass. hypotécaire CALCUL'!M31)</f>
        <v>15141.694833313362</v>
      </c>
      <c r="J13" s="404" t="s">
        <v>430</v>
      </c>
      <c r="K13" s="405">
        <f>IF(G3="années",'Coût ass. hypotécaire CALCUL'!L32,'Coût ass. hypotécaire CALCUL'!L31)</f>
        <v>16713.577694621839</v>
      </c>
    </row>
    <row r="14" spans="1:14" ht="7.5" customHeight="1" x14ac:dyDescent="0.2">
      <c r="A14" s="403"/>
      <c r="B14" s="403"/>
      <c r="C14" s="403"/>
      <c r="D14" s="403"/>
      <c r="E14" s="403"/>
      <c r="F14" s="403"/>
      <c r="G14" s="406"/>
      <c r="H14" s="405"/>
      <c r="I14" s="406"/>
      <c r="J14" s="405"/>
    </row>
    <row r="15" spans="1:14" s="408" customFormat="1" ht="16" x14ac:dyDescent="0.2">
      <c r="A15" s="407" t="s">
        <v>431</v>
      </c>
      <c r="B15" s="407"/>
      <c r="C15" s="407"/>
      <c r="D15" s="407"/>
      <c r="F15" s="407"/>
      <c r="G15" s="409"/>
      <c r="I15" s="409"/>
      <c r="K15" s="410" t="s">
        <v>432</v>
      </c>
      <c r="L15" s="411">
        <f>K13-H13</f>
        <v>1571.882861308477</v>
      </c>
    </row>
    <row r="16" spans="1:14" ht="6.75" customHeight="1" x14ac:dyDescent="0.2">
      <c r="A16" s="394"/>
      <c r="B16" s="394"/>
      <c r="C16" s="394"/>
      <c r="D16" s="394"/>
      <c r="E16" s="394"/>
      <c r="F16" s="394"/>
      <c r="I16" s="394"/>
      <c r="J16" s="394"/>
      <c r="K16" s="394"/>
      <c r="L16" s="857" t="s">
        <v>433</v>
      </c>
    </row>
    <row r="17" spans="1:20" ht="15" customHeight="1" x14ac:dyDescent="0.2">
      <c r="A17" s="403" t="s">
        <v>434</v>
      </c>
      <c r="B17" s="403"/>
      <c r="C17" s="403"/>
      <c r="D17" s="395">
        <v>5</v>
      </c>
      <c r="E17" s="412" t="str">
        <f>G3&amp;" :"</f>
        <v>années :</v>
      </c>
      <c r="F17" s="403"/>
      <c r="G17" s="404" t="s">
        <v>435</v>
      </c>
      <c r="H17" s="413">
        <f>((1+'Coût ass. hypotécaire CALCUL'!M27)^'Coût ass. hypotécaire CALCUL'!M28)*(F6-'Coût ass. hypotécaire CALCUL'!O30*'Coût ass. hypotécaire CALCUL'!M31)</f>
        <v>266628.61172025627</v>
      </c>
      <c r="J17" s="404" t="s">
        <v>436</v>
      </c>
      <c r="K17" s="413">
        <f>((1+'Coût ass. hypotécaire CALCUL'!L27)^'Coût ass. hypotécaire CALCUL'!M28)*(F6-'Coût ass. hypotécaire CALCUL'!N30*'Coût ass. hypotécaire CALCUL'!L31)</f>
        <v>270323.08099973859</v>
      </c>
      <c r="L17" s="858"/>
    </row>
    <row r="18" spans="1:20" ht="9" customHeight="1" x14ac:dyDescent="0.2">
      <c r="A18" s="403"/>
      <c r="B18" s="403"/>
      <c r="C18" s="403"/>
      <c r="D18" s="394"/>
      <c r="E18" s="412"/>
      <c r="F18" s="403"/>
      <c r="G18" s="406"/>
      <c r="H18" s="413"/>
      <c r="I18" s="406"/>
      <c r="J18" s="413"/>
      <c r="K18" s="394"/>
      <c r="L18" s="859"/>
    </row>
    <row r="19" spans="1:20" s="408" customFormat="1" ht="16" x14ac:dyDescent="0.2">
      <c r="A19" s="407" t="s">
        <v>456</v>
      </c>
      <c r="B19" s="407"/>
      <c r="C19" s="407"/>
      <c r="D19" s="407"/>
      <c r="E19" s="407"/>
      <c r="F19" s="407"/>
      <c r="G19" s="407"/>
      <c r="H19" s="407"/>
      <c r="I19" s="409"/>
      <c r="J19" s="409"/>
      <c r="K19" s="410" t="str">
        <f>"(D - C)/"&amp;D17&amp;" :"</f>
        <v>(D - C)/5 :</v>
      </c>
      <c r="L19" s="411">
        <f>(K17-H17)/D17</f>
        <v>738.89385589646406</v>
      </c>
      <c r="M19" s="414"/>
    </row>
    <row r="20" spans="1:20" ht="24.75" customHeight="1" x14ac:dyDescent="0.2">
      <c r="A20" s="403"/>
      <c r="B20" s="403"/>
      <c r="C20" s="403"/>
      <c r="D20" s="403"/>
      <c r="E20" s="403"/>
      <c r="F20" s="403"/>
      <c r="G20" s="403"/>
      <c r="H20" s="403"/>
      <c r="I20" s="403"/>
      <c r="K20" s="400"/>
      <c r="L20" s="415" t="s">
        <v>437</v>
      </c>
    </row>
    <row r="21" spans="1:20" ht="16" x14ac:dyDescent="0.2">
      <c r="A21" s="416" t="s">
        <v>438</v>
      </c>
      <c r="B21" s="403"/>
      <c r="C21" s="403"/>
      <c r="D21" s="403"/>
      <c r="E21" s="403"/>
      <c r="F21" s="403"/>
      <c r="G21" s="403"/>
      <c r="H21" s="403"/>
      <c r="I21" s="403"/>
      <c r="L21" s="417">
        <f>L19+L15</f>
        <v>2310.7767172049412</v>
      </c>
    </row>
    <row r="22" spans="1:20" ht="16" x14ac:dyDescent="0.2"/>
    <row r="23" spans="1:20" ht="16" x14ac:dyDescent="0.2">
      <c r="A23" s="403" t="s">
        <v>439</v>
      </c>
      <c r="B23" s="403"/>
      <c r="C23" s="403"/>
      <c r="D23" s="403"/>
      <c r="E23" s="403"/>
      <c r="F23" s="403"/>
      <c r="G23" s="403"/>
      <c r="H23" s="403"/>
      <c r="I23" s="403"/>
    </row>
    <row r="24" spans="1:20" ht="16" x14ac:dyDescent="0.2">
      <c r="A24" s="403" t="str">
        <f>"additionnel ("&amp;F5*100&amp;"%). Dans le cas du prêt illustré ici, le coût caché additionnel représente "&amp;ROUND(L19/L21*100,0)&amp;"% du coût d'assurance total."</f>
        <v>additionnel (0.8%). Dans le cas du prêt illustré ici, le coût caché additionnel représente 32% du coût d'assurance total.</v>
      </c>
      <c r="B24" s="403"/>
      <c r="C24" s="403"/>
      <c r="D24" s="403"/>
      <c r="E24" s="403"/>
      <c r="F24" s="403"/>
      <c r="G24" s="403"/>
      <c r="H24" s="403"/>
      <c r="I24" s="403"/>
    </row>
    <row r="25" spans="1:20" ht="9" customHeight="1" x14ac:dyDescent="0.2">
      <c r="A25" s="403"/>
      <c r="B25" s="403"/>
      <c r="C25" s="403"/>
      <c r="D25" s="403"/>
      <c r="E25" s="403"/>
      <c r="F25" s="403"/>
      <c r="G25" s="403"/>
      <c r="H25" s="403"/>
      <c r="I25" s="403"/>
    </row>
    <row r="26" spans="1:20" s="418" customFormat="1" ht="16" hidden="1" x14ac:dyDescent="0.2">
      <c r="A26" s="418" t="s">
        <v>420</v>
      </c>
      <c r="M26" s="419">
        <f>IF('Coût ass. hypotécaire CALCUL'!G3="années",'Coût ass. hypotécaire CALCUL'!F3,IF('Coût ass. hypotécaire CALCUL'!G3="mois",'Coût ass. hypotécaire CALCUL'!F3/12,IF('Coût ass. hypotécaire CALCUL'!G3="quinzaines",'Coût ass. hypotécaire CALCUL'!F3/26,IF('Coût ass. hypotécaire CALCUL'!G3="semaines",'Coût ass. hypotécaire CALCUL'!F3/52,""))))</f>
        <v>30</v>
      </c>
      <c r="N26" s="418" t="s">
        <v>440</v>
      </c>
      <c r="Q26" s="419">
        <f>IF('Coût ass. hypotécaire CALCUL'!G3="années",12,IF('Coût ass. hypotécaire CALCUL'!G3="mois",12,IF('Coût ass. hypotécaire CALCUL'!G3="quinzaines",26,IF('Coût ass. hypotécaire CALCUL'!G3="semaines",52,""))))</f>
        <v>12</v>
      </c>
      <c r="S26" s="420" t="s">
        <v>441</v>
      </c>
      <c r="T26" s="418" t="s">
        <v>442</v>
      </c>
    </row>
    <row r="27" spans="1:20" s="418" customFormat="1" ht="16" hidden="1" x14ac:dyDescent="0.2">
      <c r="A27" s="418" t="s">
        <v>443</v>
      </c>
      <c r="L27" s="421">
        <f>(1+('Coût ass. hypotécaire CALCUL'!F4+'Coût ass. hypotécaire CALCUL'!F5)/2)^2-1</f>
        <v>3.8360999999999867E-2</v>
      </c>
      <c r="M27" s="421">
        <f>(1+'Coût ass. hypotécaire CALCUL'!F4/2)^2-1</f>
        <v>3.0224999999999724E-2</v>
      </c>
      <c r="T27" s="418" t="s">
        <v>441</v>
      </c>
    </row>
    <row r="28" spans="1:20" s="418" customFormat="1" ht="16" hidden="1" x14ac:dyDescent="0.2">
      <c r="A28" s="418" t="s">
        <v>444</v>
      </c>
      <c r="M28" s="419">
        <f>IF('Coût ass. hypotécaire CALCUL'!G3="années",'Coût ass. hypotécaire CALCUL'!D17,IF('Coût ass. hypotécaire CALCUL'!G3="mois",'Coût ass. hypotécaire CALCUL'!D17/12,IF('Coût ass. hypotécaire CALCUL'!G3="quinzaines",'Coût ass. hypotécaire CALCUL'!D17/26,IF('Coût ass. hypotécaire CALCUL'!G3="semaines",'Coût ass. hypotécaire CALCUL'!D17/52,""))))</f>
        <v>5</v>
      </c>
      <c r="N28" s="422" t="s">
        <v>440</v>
      </c>
    </row>
    <row r="29" spans="1:20" s="418" customFormat="1" ht="16" hidden="1" x14ac:dyDescent="0.2">
      <c r="A29" s="418" t="s">
        <v>445</v>
      </c>
      <c r="L29" s="423">
        <f>(1+L27)^(1/Q26)-1</f>
        <v>3.1418844450255001E-3</v>
      </c>
      <c r="M29" s="423">
        <f>(1+M27)^(1/Q26)-1</f>
        <v>2.4845167246487776E-3</v>
      </c>
      <c r="N29" s="424"/>
      <c r="Q29" s="418" t="s">
        <v>421</v>
      </c>
      <c r="R29" s="425" t="s">
        <v>446</v>
      </c>
    </row>
    <row r="30" spans="1:20" s="418" customFormat="1" ht="16" hidden="1" x14ac:dyDescent="0.2">
      <c r="A30" s="418" t="s">
        <v>447</v>
      </c>
      <c r="L30" s="426">
        <f>(1-(1+L29)^(-M26*Q26))/L29*IF(S26="début",(1+L29),1)</f>
        <v>215.39373949590831</v>
      </c>
      <c r="M30" s="426">
        <f>(1-(1+M29)^(-M26*Q26))/M29*IF(S26="début",(1+M29),1)</f>
        <v>237.7540981792614</v>
      </c>
      <c r="N30" s="418">
        <f>(1-(1+L29)^(-M28*Q26))/L29*IF(S26="début",(1+L29),1)</f>
        <v>54.605933159115217</v>
      </c>
      <c r="O30" s="418">
        <f>(1-(1+M29)^(-M28*Q26))/M29*IF(S26="début",(1+M29),1)</f>
        <v>55.677938049452095</v>
      </c>
      <c r="Q30" s="418" t="s">
        <v>448</v>
      </c>
      <c r="R30" s="418" t="s">
        <v>449</v>
      </c>
    </row>
    <row r="31" spans="1:20" s="418" customFormat="1" ht="16" hidden="1" x14ac:dyDescent="0.2">
      <c r="A31" s="418" t="s">
        <v>450</v>
      </c>
      <c r="L31" s="426">
        <f>'Coût ass. hypotécaire CALCUL'!F6/L30</f>
        <v>1392.7981412184865</v>
      </c>
      <c r="M31" s="426">
        <f>'Coût ass. hypotécaire CALCUL'!F6/M30</f>
        <v>1261.8079027761135</v>
      </c>
      <c r="N31" s="427" t="str">
        <f>'Coût ass. hypotécaire CALCUL'!G3</f>
        <v>années</v>
      </c>
      <c r="Q31" s="418" t="s">
        <v>451</v>
      </c>
      <c r="R31" s="418" t="s">
        <v>452</v>
      </c>
    </row>
    <row r="32" spans="1:20" s="418" customFormat="1" ht="16" hidden="1" x14ac:dyDescent="0.2">
      <c r="A32" s="418" t="s">
        <v>453</v>
      </c>
      <c r="L32" s="426">
        <f>L31*Q26</f>
        <v>16713.577694621839</v>
      </c>
      <c r="M32" s="426">
        <f>M31*Q26</f>
        <v>15141.694833313362</v>
      </c>
      <c r="Q32" s="418" t="s">
        <v>454</v>
      </c>
      <c r="R32" s="418" t="s">
        <v>455</v>
      </c>
    </row>
    <row r="33" spans="1:13" s="418" customFormat="1" ht="16" hidden="1" x14ac:dyDescent="0.2">
      <c r="A33" s="419"/>
      <c r="B33" s="419"/>
      <c r="C33" s="419"/>
      <c r="D33" s="419"/>
      <c r="E33" s="419"/>
      <c r="F33" s="419"/>
      <c r="G33" s="419"/>
      <c r="H33" s="419"/>
      <c r="I33" s="419"/>
      <c r="M33" s="419"/>
    </row>
    <row r="34" spans="1:13" s="418" customFormat="1" ht="16" hidden="1" x14ac:dyDescent="0.2">
      <c r="A34" s="419"/>
      <c r="B34" s="419"/>
      <c r="C34" s="419"/>
      <c r="D34" s="419"/>
      <c r="E34" s="419"/>
      <c r="F34" s="419"/>
      <c r="G34" s="419"/>
      <c r="H34" s="419"/>
      <c r="I34" s="419"/>
      <c r="M34" s="419"/>
    </row>
    <row r="35" spans="1:13" ht="16" hidden="1" x14ac:dyDescent="0.2">
      <c r="A35" s="394"/>
      <c r="B35" s="394"/>
      <c r="C35" s="394"/>
      <c r="D35" s="394"/>
      <c r="E35" s="394"/>
      <c r="F35" s="394"/>
      <c r="G35" s="394"/>
      <c r="H35" s="394"/>
      <c r="I35" s="394"/>
    </row>
    <row r="36" spans="1:13" ht="16" hidden="1" x14ac:dyDescent="0.2">
      <c r="A36" s="394"/>
      <c r="B36" s="394"/>
      <c r="C36" s="394"/>
      <c r="D36" s="394"/>
      <c r="E36" s="394"/>
      <c r="F36" s="394"/>
      <c r="G36" s="394"/>
      <c r="H36" s="394"/>
      <c r="I36" s="394"/>
    </row>
    <row r="37" spans="1:13" ht="16" hidden="1" x14ac:dyDescent="0.2">
      <c r="A37" s="394"/>
      <c r="B37" s="394"/>
      <c r="C37" s="394"/>
      <c r="D37" s="394"/>
      <c r="E37" s="394"/>
      <c r="F37" s="394"/>
      <c r="G37" s="394"/>
      <c r="H37" s="394"/>
      <c r="I37" s="394"/>
    </row>
    <row r="38" spans="1:13" ht="16" hidden="1" x14ac:dyDescent="0.2">
      <c r="A38" s="394"/>
      <c r="B38" s="394"/>
      <c r="C38" s="394"/>
      <c r="D38" s="394"/>
      <c r="E38" s="394"/>
      <c r="F38" s="394"/>
      <c r="G38" s="394"/>
      <c r="H38" s="394"/>
      <c r="I38" s="394"/>
    </row>
    <row r="39" spans="1:13" ht="16" hidden="1" x14ac:dyDescent="0.2">
      <c r="A39" s="394"/>
      <c r="B39" s="394"/>
      <c r="C39" s="394"/>
      <c r="D39" s="394"/>
      <c r="E39" s="394"/>
      <c r="F39" s="394"/>
      <c r="G39" s="394"/>
      <c r="H39" s="394"/>
      <c r="I39" s="394"/>
    </row>
    <row r="40" spans="1:13" ht="16" hidden="1" x14ac:dyDescent="0.2">
      <c r="A40" s="394"/>
      <c r="B40" s="394"/>
      <c r="C40" s="394"/>
      <c r="D40" s="394"/>
      <c r="E40" s="394"/>
      <c r="F40" s="394"/>
      <c r="G40" s="394"/>
      <c r="H40" s="394"/>
      <c r="I40" s="394"/>
    </row>
    <row r="41" spans="1:13" ht="16" hidden="1" x14ac:dyDescent="0.2">
      <c r="A41" s="394"/>
      <c r="B41" s="394"/>
      <c r="C41" s="394"/>
      <c r="D41" s="394"/>
      <c r="E41" s="394"/>
      <c r="F41" s="394"/>
      <c r="G41" s="394"/>
      <c r="H41" s="394"/>
      <c r="I41" s="394"/>
    </row>
    <row r="42" spans="1:13" ht="16" hidden="1" x14ac:dyDescent="0.2">
      <c r="A42" s="394"/>
      <c r="B42" s="394"/>
      <c r="C42" s="394"/>
      <c r="D42" s="394"/>
      <c r="E42" s="394"/>
      <c r="F42" s="394"/>
      <c r="G42" s="394"/>
      <c r="H42" s="394"/>
      <c r="I42" s="394"/>
    </row>
    <row r="43" spans="1:13" ht="16" hidden="1" x14ac:dyDescent="0.2">
      <c r="A43" s="394"/>
      <c r="B43" s="394"/>
      <c r="C43" s="394"/>
      <c r="D43" s="394"/>
      <c r="E43" s="394"/>
      <c r="F43" s="394"/>
      <c r="G43" s="394"/>
      <c r="H43" s="394"/>
      <c r="I43" s="394"/>
    </row>
    <row r="44" spans="1:13" ht="16" hidden="1" x14ac:dyDescent="0.2">
      <c r="A44" s="394"/>
      <c r="B44" s="394"/>
      <c r="C44" s="394"/>
      <c r="D44" s="394"/>
      <c r="E44" s="394"/>
      <c r="F44" s="394"/>
      <c r="G44" s="394"/>
      <c r="H44" s="394"/>
      <c r="I44" s="394"/>
    </row>
    <row r="45" spans="1:13" ht="16" hidden="1" x14ac:dyDescent="0.2">
      <c r="A45" s="394"/>
      <c r="B45" s="394"/>
      <c r="C45" s="394"/>
      <c r="D45" s="394"/>
      <c r="E45" s="394"/>
      <c r="F45" s="394"/>
      <c r="G45" s="394"/>
      <c r="H45" s="394"/>
      <c r="I45" s="394"/>
    </row>
    <row r="46" spans="1:13" ht="16" hidden="1" x14ac:dyDescent="0.2">
      <c r="A46" s="394"/>
      <c r="B46" s="394"/>
      <c r="C46" s="394"/>
      <c r="D46" s="394"/>
      <c r="E46" s="394"/>
      <c r="F46" s="394"/>
      <c r="G46" s="394"/>
      <c r="H46" s="394"/>
      <c r="I46" s="394"/>
    </row>
    <row r="47" spans="1:13" ht="16" hidden="1" x14ac:dyDescent="0.2"/>
    <row r="48" spans="1:13" ht="16" hidden="1" x14ac:dyDescent="0.2"/>
    <row r="49" ht="16" hidden="1" x14ac:dyDescent="0.2"/>
    <row r="50" ht="16" hidden="1" x14ac:dyDescent="0.2"/>
    <row r="51" ht="16" hidden="1" x14ac:dyDescent="0.2"/>
    <row r="52" ht="16" hidden="1" x14ac:dyDescent="0.2"/>
    <row r="53" ht="16" hidden="1" x14ac:dyDescent="0.2"/>
    <row r="54" ht="16" hidden="1" x14ac:dyDescent="0.2"/>
    <row r="55" ht="16" hidden="1" x14ac:dyDescent="0.2"/>
    <row r="56" ht="16" hidden="1" x14ac:dyDescent="0.2"/>
    <row r="57" ht="16" hidden="1" x14ac:dyDescent="0.2"/>
    <row r="58" ht="16" hidden="1" x14ac:dyDescent="0.2"/>
    <row r="59" ht="16" hidden="1" x14ac:dyDescent="0.2"/>
    <row r="60" ht="16" hidden="1" x14ac:dyDescent="0.2"/>
    <row r="61" ht="16" hidden="1" x14ac:dyDescent="0.2"/>
    <row r="62" ht="16" hidden="1" x14ac:dyDescent="0.2"/>
    <row r="63" ht="16" hidden="1" x14ac:dyDescent="0.2"/>
    <row r="64" ht="16" hidden="1" x14ac:dyDescent="0.2"/>
    <row r="65" ht="16" hidden="1" x14ac:dyDescent="0.2"/>
    <row r="66" ht="16" hidden="1" x14ac:dyDescent="0.2"/>
    <row r="67" ht="16" hidden="1" x14ac:dyDescent="0.2"/>
    <row r="68" ht="16" hidden="1" x14ac:dyDescent="0.2"/>
    <row r="69" ht="16" hidden="1" x14ac:dyDescent="0.2"/>
    <row r="70" ht="16" hidden="1" x14ac:dyDescent="0.2"/>
    <row r="71" ht="16" hidden="1" x14ac:dyDescent="0.2"/>
    <row r="72" ht="16" hidden="1" x14ac:dyDescent="0.2"/>
    <row r="73" ht="16" hidden="1" x14ac:dyDescent="0.2"/>
    <row r="74" ht="16" hidden="1" x14ac:dyDescent="0.2"/>
    <row r="75" ht="16" hidden="1" x14ac:dyDescent="0.2"/>
    <row r="76" ht="16" hidden="1" x14ac:dyDescent="0.2"/>
    <row r="77" ht="16" hidden="1" x14ac:dyDescent="0.2"/>
    <row r="78" ht="16" hidden="1" x14ac:dyDescent="0.2"/>
    <row r="79" ht="16" hidden="1" x14ac:dyDescent="0.2"/>
    <row r="80" ht="16" hidden="1" x14ac:dyDescent="0.2"/>
    <row r="81" ht="16" hidden="1" x14ac:dyDescent="0.2"/>
  </sheetData>
  <sheetProtection algorithmName="SHA-512" hashValue="HE5TSjbLQ9KzbixsRnNjcFo7dDMVPVxnDShVAPk1DfgRd2UtJnHNot1+Xj9CR/5IIdllum+Oo7rIlLp4psnwCQ==" saltValue="C4ITEfBCMoXrOW+JGmOTOQ==" spinCount="100000" sheet="1" objects="1" scenarios="1" selectLockedCells="1"/>
  <mergeCells count="2">
    <mergeCell ref="A1:N1"/>
    <mergeCell ref="L16:L18"/>
  </mergeCells>
  <dataValidations count="2">
    <dataValidation type="list" allowBlank="1" showInputMessage="1" showErrorMessage="1" sqref="G3" xr:uid="{4B7ECF91-C685-4008-BF9F-9DF01D1CE5C9}">
      <formula1>$Q$29:$Q$32</formula1>
    </dataValidation>
    <dataValidation type="list" allowBlank="1" showInputMessage="1" showErrorMessage="1" sqref="S26" xr:uid="{D88E5652-BE39-4C88-BD9B-31D25141DFB8}">
      <formula1>$T$1:$T$2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scale="8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82201-C4B3-4983-8D0C-1FBF385C1DB9}">
  <sheetPr codeName="Feuil21"/>
  <dimension ref="A1:G30"/>
  <sheetViews>
    <sheetView workbookViewId="0">
      <selection activeCell="B17" sqref="B17"/>
    </sheetView>
  </sheetViews>
  <sheetFormatPr baseColWidth="10" defaultColWidth="0" defaultRowHeight="16" zeroHeight="1" x14ac:dyDescent="0.2"/>
  <cols>
    <col min="1" max="1" width="46.796875" style="436" customWidth="1"/>
    <col min="2" max="2" width="18.796875" style="437" customWidth="1"/>
    <col min="3" max="3" width="15.19921875" style="437" bestFit="1" customWidth="1"/>
    <col min="4" max="8" width="11.3984375" style="431" hidden="1" customWidth="1"/>
    <col min="9" max="16384" width="11.3984375" style="431" hidden="1"/>
  </cols>
  <sheetData>
    <row r="1" spans="1:7" ht="24" x14ac:dyDescent="0.3">
      <c r="A1" s="861" t="s">
        <v>457</v>
      </c>
      <c r="B1" s="861"/>
      <c r="C1" s="861"/>
      <c r="D1" s="430"/>
      <c r="E1" s="430"/>
    </row>
    <row r="2" spans="1:7" ht="24" x14ac:dyDescent="0.3">
      <c r="A2" s="432"/>
      <c r="B2" s="433"/>
      <c r="C2" s="432"/>
      <c r="D2" s="434"/>
      <c r="E2" s="434"/>
    </row>
    <row r="3" spans="1:7" ht="31.5" customHeight="1" x14ac:dyDescent="0.2">
      <c r="A3" s="860" t="s">
        <v>325</v>
      </c>
      <c r="B3" s="860"/>
      <c r="C3" s="860"/>
      <c r="D3" s="435"/>
      <c r="E3" s="435"/>
      <c r="F3" s="435"/>
      <c r="G3" s="435"/>
    </row>
    <row r="4" spans="1:7" x14ac:dyDescent="0.2"/>
    <row r="5" spans="1:7" ht="19" x14ac:dyDescent="0.25">
      <c r="A5" s="438" t="s">
        <v>461</v>
      </c>
      <c r="B5" s="428">
        <v>100000</v>
      </c>
      <c r="C5" s="439">
        <f>+B5</f>
        <v>100000</v>
      </c>
    </row>
    <row r="6" spans="1:7" x14ac:dyDescent="0.2"/>
    <row r="7" spans="1:7" x14ac:dyDescent="0.2">
      <c r="A7" s="440" t="s">
        <v>326</v>
      </c>
    </row>
    <row r="8" spans="1:7" x14ac:dyDescent="0.2"/>
    <row r="9" spans="1:7" x14ac:dyDescent="0.2">
      <c r="A9" s="441" t="s">
        <v>327</v>
      </c>
      <c r="B9" s="429">
        <v>350</v>
      </c>
      <c r="C9" s="439">
        <f>B9</f>
        <v>350</v>
      </c>
    </row>
    <row r="10" spans="1:7" x14ac:dyDescent="0.2">
      <c r="A10" s="441" t="s">
        <v>328</v>
      </c>
      <c r="B10" s="429">
        <v>0</v>
      </c>
      <c r="C10" s="439">
        <f>B10</f>
        <v>0</v>
      </c>
    </row>
    <row r="11" spans="1:7" x14ac:dyDescent="0.2">
      <c r="A11" s="441" t="s">
        <v>329</v>
      </c>
      <c r="B11" s="429">
        <v>0</v>
      </c>
      <c r="C11" s="439">
        <f>B11</f>
        <v>0</v>
      </c>
    </row>
    <row r="12" spans="1:7" x14ac:dyDescent="0.2">
      <c r="A12" s="441" t="s">
        <v>330</v>
      </c>
      <c r="B12" s="429">
        <v>0</v>
      </c>
      <c r="C12" s="439">
        <f>B12*3%</f>
        <v>0</v>
      </c>
    </row>
    <row r="13" spans="1:7" x14ac:dyDescent="0.2">
      <c r="A13" s="441" t="s">
        <v>331</v>
      </c>
      <c r="B13" s="429">
        <v>0</v>
      </c>
      <c r="C13" s="439">
        <f>B13*3%</f>
        <v>0</v>
      </c>
    </row>
    <row r="14" spans="1:7" x14ac:dyDescent="0.2">
      <c r="A14" s="441" t="s">
        <v>332</v>
      </c>
      <c r="B14" s="429">
        <v>0</v>
      </c>
      <c r="C14" s="439">
        <f>B14*1%</f>
        <v>0</v>
      </c>
    </row>
    <row r="15" spans="1:7" x14ac:dyDescent="0.2">
      <c r="A15" s="441" t="s">
        <v>333</v>
      </c>
      <c r="B15" s="429">
        <v>0</v>
      </c>
      <c r="C15" s="439">
        <f>B15</f>
        <v>0</v>
      </c>
    </row>
    <row r="16" spans="1:7" x14ac:dyDescent="0.2">
      <c r="A16" s="441" t="s">
        <v>334</v>
      </c>
      <c r="B16" s="429">
        <v>0</v>
      </c>
      <c r="C16" s="439">
        <f>B16/12</f>
        <v>0</v>
      </c>
    </row>
    <row r="17" spans="1:3" x14ac:dyDescent="0.2">
      <c r="A17" s="441" t="s">
        <v>335</v>
      </c>
      <c r="B17" s="429">
        <v>0</v>
      </c>
      <c r="C17" s="439">
        <f>B17/12</f>
        <v>0</v>
      </c>
    </row>
    <row r="18" spans="1:3" x14ac:dyDescent="0.2">
      <c r="A18" s="441" t="s">
        <v>336</v>
      </c>
      <c r="B18" s="429">
        <v>0</v>
      </c>
      <c r="C18" s="439">
        <f>B18</f>
        <v>0</v>
      </c>
    </row>
    <row r="19" spans="1:3" x14ac:dyDescent="0.2"/>
    <row r="20" spans="1:3" x14ac:dyDescent="0.2"/>
    <row r="21" spans="1:3" x14ac:dyDescent="0.2"/>
    <row r="22" spans="1:3" ht="21" x14ac:dyDescent="0.25">
      <c r="A22" s="442" t="s">
        <v>337</v>
      </c>
      <c r="C22" s="443">
        <f>((C5*10/300)-(C9+C10+C11+C12+C13+C14+C15+C16+C17+C18))*150</f>
        <v>447500</v>
      </c>
    </row>
    <row r="23" spans="1:3" x14ac:dyDescent="0.2"/>
    <row r="24" spans="1:3" x14ac:dyDescent="0.2">
      <c r="A24" s="436" t="s">
        <v>128</v>
      </c>
    </row>
    <row r="25" spans="1:3" ht="32.25" customHeight="1" x14ac:dyDescent="0.2">
      <c r="A25" s="862" t="s">
        <v>458</v>
      </c>
      <c r="B25" s="862"/>
      <c r="C25" s="862"/>
    </row>
    <row r="26" spans="1:3" ht="32.25" customHeight="1" x14ac:dyDescent="0.2">
      <c r="A26" s="862" t="s">
        <v>459</v>
      </c>
      <c r="B26" s="862"/>
      <c r="C26" s="862"/>
    </row>
    <row r="27" spans="1:3" x14ac:dyDescent="0.2">
      <c r="A27" s="436" t="s">
        <v>460</v>
      </c>
    </row>
    <row r="28" spans="1:3" x14ac:dyDescent="0.2">
      <c r="A28" s="436" t="s">
        <v>349</v>
      </c>
    </row>
    <row r="29" spans="1:3" x14ac:dyDescent="0.2">
      <c r="A29" s="436" t="s">
        <v>348</v>
      </c>
    </row>
    <row r="30" spans="1:3" hidden="1" x14ac:dyDescent="0.2">
      <c r="A30" s="436" t="s">
        <v>349</v>
      </c>
    </row>
  </sheetData>
  <sheetProtection algorithmName="SHA-512" hashValue="Mj4A1SyaLBVSPRD2+qkqA3WVzYFd5adXnQT/A159RXLMn8aYCVKpZCvJrr6wv7pJ9334a6aZwSJOSFae0aXCKA==" saltValue="LFJc0WnujiFvBUSyLDXxNg==" spinCount="100000" sheet="1" objects="1" scenarios="1" selectLockedCells="1"/>
  <mergeCells count="4">
    <mergeCell ref="A3:C3"/>
    <mergeCell ref="A1:C1"/>
    <mergeCell ref="A25:C25"/>
    <mergeCell ref="A26:C2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B24F-6DAB-4D2D-B92C-A74163C73FE5}">
  <sheetPr codeName="Feuil22"/>
  <dimension ref="A1:Y89"/>
  <sheetViews>
    <sheetView zoomScale="115" zoomScaleNormal="115" workbookViewId="0">
      <selection activeCell="M8" sqref="M8"/>
    </sheetView>
  </sheetViews>
  <sheetFormatPr baseColWidth="10" defaultColWidth="0" defaultRowHeight="15" zeroHeight="1" x14ac:dyDescent="0.2"/>
  <cols>
    <col min="1" max="1" width="3.3984375" style="445" customWidth="1"/>
    <col min="2" max="2" width="33.796875" style="445" customWidth="1"/>
    <col min="3" max="3" width="22" style="445" bestFit="1" customWidth="1"/>
    <col min="4" max="4" width="9.796875" style="444" customWidth="1"/>
    <col min="5" max="5" width="31.19921875" style="445" bestFit="1" customWidth="1"/>
    <col min="6" max="8" width="17.3984375" style="445" customWidth="1"/>
    <col min="9" max="9" width="9.796875" style="444" customWidth="1"/>
    <col min="10" max="10" width="37.59765625" style="445" bestFit="1" customWidth="1"/>
    <col min="11" max="13" width="16.59765625" style="445" customWidth="1"/>
    <col min="14" max="14" width="11.59765625" style="445" hidden="1" customWidth="1"/>
    <col min="15" max="15" width="3" style="445" hidden="1" customWidth="1"/>
    <col min="16" max="16" width="16.19921875" style="445" hidden="1" customWidth="1"/>
    <col min="17" max="17" width="11.19921875" style="445" hidden="1" customWidth="1"/>
    <col min="18" max="18" width="23" style="445" hidden="1" customWidth="1"/>
    <col min="19" max="19" width="17.796875" style="445" hidden="1" customWidth="1"/>
    <col min="20" max="20" width="12.59765625" style="445" hidden="1" customWidth="1"/>
    <col min="21" max="21" width="23" style="445" hidden="1" customWidth="1"/>
    <col min="22" max="22" width="17.796875" style="445" hidden="1" customWidth="1"/>
    <col min="23" max="23" width="11.19921875" style="445" hidden="1" customWidth="1"/>
    <col min="24" max="24" width="23" style="445" hidden="1" customWidth="1"/>
    <col min="25" max="25" width="17.796875" style="445" hidden="1" customWidth="1"/>
    <col min="26" max="16384" width="11.59765625" style="445" hidden="1"/>
  </cols>
  <sheetData>
    <row r="1" spans="2:21" ht="17" thickBot="1" x14ac:dyDescent="0.25">
      <c r="B1" s="865"/>
      <c r="C1" s="865"/>
      <c r="E1" s="445" t="s">
        <v>350</v>
      </c>
      <c r="F1" s="446">
        <v>0.05</v>
      </c>
      <c r="G1" s="446">
        <v>0.1</v>
      </c>
      <c r="H1" s="446">
        <v>0.2</v>
      </c>
      <c r="J1" s="447" t="s">
        <v>350</v>
      </c>
      <c r="K1" s="446">
        <v>0.05</v>
      </c>
      <c r="L1" s="446">
        <v>0.1</v>
      </c>
      <c r="M1" s="446">
        <v>0.2</v>
      </c>
      <c r="O1" s="878" t="s">
        <v>403</v>
      </c>
      <c r="P1" s="878"/>
      <c r="Q1" s="878"/>
      <c r="R1" s="878"/>
      <c r="S1" s="878"/>
      <c r="T1" s="878"/>
      <c r="U1" s="878"/>
    </row>
    <row r="2" spans="2:21" ht="16" thickBot="1" x14ac:dyDescent="0.25">
      <c r="B2" s="866" t="s">
        <v>351</v>
      </c>
      <c r="C2" s="867"/>
      <c r="E2" s="866" t="s">
        <v>351</v>
      </c>
      <c r="F2" s="868"/>
      <c r="G2" s="868"/>
      <c r="H2" s="867"/>
      <c r="J2" s="869" t="str">
        <f>"REVENTE DANS "&amp;C31&amp;" ANNÉES"</f>
        <v>REVENTE DANS 15 ANNÉES</v>
      </c>
      <c r="K2" s="870"/>
      <c r="L2" s="870"/>
      <c r="M2" s="871"/>
      <c r="P2" s="878" t="s">
        <v>404</v>
      </c>
      <c r="Q2" s="878"/>
      <c r="R2" s="878" t="s">
        <v>405</v>
      </c>
      <c r="S2" s="878"/>
      <c r="T2" s="878" t="s">
        <v>406</v>
      </c>
      <c r="U2" s="878"/>
    </row>
    <row r="3" spans="2:21" ht="16" x14ac:dyDescent="0.2">
      <c r="B3" s="448" t="s">
        <v>352</v>
      </c>
      <c r="C3" s="477">
        <v>450000</v>
      </c>
      <c r="E3" s="449" t="s">
        <v>353</v>
      </c>
      <c r="F3" s="450">
        <f>+$C$5*(1-F1)</f>
        <v>427500</v>
      </c>
      <c r="G3" s="449">
        <f>+$C$5*(1-G1)</f>
        <v>405000</v>
      </c>
      <c r="H3" s="449">
        <f>+$C$5*(1-H1)</f>
        <v>360000</v>
      </c>
      <c r="J3" s="451" t="s">
        <v>354</v>
      </c>
      <c r="K3" s="451">
        <f>VLOOKUP(C31,'Analyse achat mdf'!$O$65:$Y$89,2,FALSE)</f>
        <v>605640.75224585854</v>
      </c>
      <c r="L3" s="451">
        <f>+K3</f>
        <v>605640.75224585854</v>
      </c>
      <c r="M3" s="451">
        <f>+L3</f>
        <v>605640.75224585854</v>
      </c>
      <c r="P3" s="445" t="s">
        <v>407</v>
      </c>
      <c r="Q3" s="445" t="s">
        <v>408</v>
      </c>
      <c r="R3" s="445" t="s">
        <v>407</v>
      </c>
      <c r="S3" s="445" t="s">
        <v>408</v>
      </c>
      <c r="T3" s="445" t="s">
        <v>407</v>
      </c>
      <c r="U3" s="445" t="s">
        <v>408</v>
      </c>
    </row>
    <row r="4" spans="2:21" ht="16" x14ac:dyDescent="0.2">
      <c r="B4" s="448" t="s">
        <v>355</v>
      </c>
      <c r="C4" s="477">
        <v>450000</v>
      </c>
      <c r="E4" s="449" t="s">
        <v>356</v>
      </c>
      <c r="F4" s="450">
        <f>(F3)*0.04</f>
        <v>17100</v>
      </c>
      <c r="G4" s="449">
        <f>(G3)*0.031</f>
        <v>12555</v>
      </c>
      <c r="H4" s="452">
        <v>0</v>
      </c>
      <c r="J4" s="451" t="s">
        <v>357</v>
      </c>
      <c r="K4" s="451">
        <f>+VLOOKUP($C$31,'Analyse achat mdf'!$O$4:$U$28,3,FALSE)</f>
        <v>230833.81191931744</v>
      </c>
      <c r="L4" s="451">
        <f>+VLOOKUP($C$31,'Analyse achat mdf'!$O$4:$U$28,5,FALSE)</f>
        <v>216792.2004857641</v>
      </c>
      <c r="M4" s="451">
        <f>+VLOOKUP($C$31,'Analyse achat mdf'!$O$4:$U$28,7,FALSE)</f>
        <v>186909.9691654389</v>
      </c>
      <c r="O4" s="445">
        <v>1</v>
      </c>
      <c r="P4" s="453">
        <f>'Analyse achat mdf'!$F$5</f>
        <v>444600</v>
      </c>
      <c r="Q4" s="453">
        <f>P4*(1+'Analyse achat mdf'!$C$10)+PMT('Analyse achat mdf'!$C$10,25,$P$4)</f>
        <v>433924.28134514228</v>
      </c>
      <c r="R4" s="453">
        <f>'Analyse achat mdf'!$G$5</f>
        <v>417555</v>
      </c>
      <c r="S4" s="453">
        <f>R4*(1+'Analyse achat mdf'!$C$10)+PMT('Analyse achat mdf'!$C$10,25,$R$4)</f>
        <v>407528.68487870198</v>
      </c>
      <c r="T4" s="453">
        <f>+'Analyse achat mdf'!$H$5</f>
        <v>360000</v>
      </c>
      <c r="U4" s="453">
        <f>T4*(1+'Analyse achat mdf'!$C$10)+PMT('Analyse achat mdf'!$C$10,25,$T$4)</f>
        <v>351355.69339687633</v>
      </c>
    </row>
    <row r="5" spans="2:21" ht="17" thickBot="1" x14ac:dyDescent="0.25">
      <c r="B5" s="448" t="s">
        <v>358</v>
      </c>
      <c r="C5" s="477">
        <v>450000</v>
      </c>
      <c r="E5" s="454" t="s">
        <v>359</v>
      </c>
      <c r="F5" s="454">
        <f>+F3+F4</f>
        <v>444600</v>
      </c>
      <c r="G5" s="454">
        <f t="shared" ref="G5:H5" si="0">+G3+G4</f>
        <v>417555</v>
      </c>
      <c r="H5" s="454">
        <f t="shared" si="0"/>
        <v>360000</v>
      </c>
      <c r="J5" s="455" t="s">
        <v>360</v>
      </c>
      <c r="K5" s="455">
        <f>K3-K4</f>
        <v>374806.94032654108</v>
      </c>
      <c r="L5" s="455">
        <f t="shared" ref="L5:M5" si="1">L3-L4</f>
        <v>388848.55176009447</v>
      </c>
      <c r="M5" s="455">
        <f t="shared" si="1"/>
        <v>418730.78308041964</v>
      </c>
      <c r="O5" s="445">
        <v>2</v>
      </c>
      <c r="P5" s="453">
        <f t="shared" ref="P5:P28" si="2">+Q4</f>
        <v>433924.28134514228</v>
      </c>
      <c r="Q5" s="453">
        <f>P5*(1+'Analyse achat mdf'!$C$10)+PMT('Analyse achat mdf'!$C$10,25,$P$4)</f>
        <v>422821.5339440903</v>
      </c>
      <c r="R5" s="453">
        <f t="shared" ref="R5:R28" si="3">+S4</f>
        <v>407528.68487870198</v>
      </c>
      <c r="S5" s="453">
        <f>R5*(1+'Analyse achat mdf'!$C$10)+PMT('Analyse achat mdf'!$C$10,25,$R$4)</f>
        <v>397101.31715255207</v>
      </c>
      <c r="T5" s="453">
        <f t="shared" ref="T5:T28" si="4">+U4</f>
        <v>351355.69339687633</v>
      </c>
      <c r="U5" s="453">
        <f>T5*(1+'Analyse achat mdf'!$C$10)+PMT('Analyse achat mdf'!$C$10,25,$T$4)</f>
        <v>342365.61452962772</v>
      </c>
    </row>
    <row r="6" spans="2:21" ht="18" thickTop="1" thickBot="1" x14ac:dyDescent="0.25">
      <c r="B6" s="448" t="s">
        <v>418</v>
      </c>
      <c r="C6" s="456">
        <f>0.009*C3</f>
        <v>4049.9999999999995</v>
      </c>
      <c r="E6" s="451"/>
      <c r="F6" s="451"/>
      <c r="G6" s="451"/>
      <c r="H6" s="451"/>
      <c r="I6" s="457"/>
      <c r="J6" s="451" t="s">
        <v>182</v>
      </c>
      <c r="K6" s="458">
        <f>VLOOKUP(C31,'Analyse achat mdf'!$O$35:$X$59,4,FALSE)</f>
        <v>191507.13827259222</v>
      </c>
      <c r="L6" s="458">
        <f>VLOOKUP(C31,'Analyse achat mdf'!$O$35:$X$59,7,FALSE)</f>
        <v>176617.86692544617</v>
      </c>
      <c r="M6" s="458">
        <f>VLOOKUP(C31,'Analyse achat mdf'!$O$35:$X$59,10,FALSE)</f>
        <v>153600.97189096286</v>
      </c>
      <c r="O6" s="445">
        <v>3</v>
      </c>
      <c r="P6" s="453">
        <f t="shared" si="2"/>
        <v>422821.5339440903</v>
      </c>
      <c r="Q6" s="453">
        <f>P6*(1+'Analyse achat mdf'!$C$10)+PMT('Analyse achat mdf'!$C$10,25,$P$4)</f>
        <v>411274.67664699623</v>
      </c>
      <c r="R6" s="453">
        <f t="shared" si="3"/>
        <v>397101.31715255207</v>
      </c>
      <c r="S6" s="453">
        <f>R6*(1+'Analyse achat mdf'!$C$10)+PMT('Analyse achat mdf'!$C$10,25,$R$4)</f>
        <v>386256.85471735615</v>
      </c>
      <c r="T6" s="453">
        <f t="shared" si="4"/>
        <v>342365.61452962772</v>
      </c>
      <c r="U6" s="453">
        <f>T6*(1+'Analyse achat mdf'!$C$10)+PMT('Analyse achat mdf'!$C$10,25,$T$4)</f>
        <v>333015.93250768917</v>
      </c>
    </row>
    <row r="7" spans="2:21" ht="16" thickBot="1" x14ac:dyDescent="0.25">
      <c r="E7" s="872" t="s">
        <v>361</v>
      </c>
      <c r="F7" s="873"/>
      <c r="G7" s="873"/>
      <c r="H7" s="874"/>
      <c r="I7" s="457"/>
      <c r="J7" s="459" t="s">
        <v>362</v>
      </c>
      <c r="K7" s="459">
        <f>+K6+K5</f>
        <v>566314.0785991333</v>
      </c>
      <c r="L7" s="459">
        <f>+L6+L5</f>
        <v>565466.41868554067</v>
      </c>
      <c r="M7" s="459">
        <f>+M6+M5</f>
        <v>572331.75497138244</v>
      </c>
      <c r="O7" s="445">
        <v>4</v>
      </c>
      <c r="P7" s="453">
        <f t="shared" si="2"/>
        <v>411274.67664699623</v>
      </c>
      <c r="Q7" s="453">
        <f>P7*(1+'Analyse achat mdf'!$C$10)+PMT('Analyse achat mdf'!$C$10,25,$P$4)</f>
        <v>399265.94505801838</v>
      </c>
      <c r="R7" s="453">
        <f t="shared" si="3"/>
        <v>386256.85471735615</v>
      </c>
      <c r="S7" s="453">
        <f>R7*(1+'Analyse achat mdf'!$C$10)+PMT('Analyse achat mdf'!$C$10,25,$R$4)</f>
        <v>374978.61378475238</v>
      </c>
      <c r="T7" s="453">
        <f t="shared" si="4"/>
        <v>333015.93250768917</v>
      </c>
      <c r="U7" s="453">
        <f>T7*(1+'Analyse achat mdf'!$C$10)+PMT('Analyse achat mdf'!$C$10,25,$T$4)</f>
        <v>323292.26320487307</v>
      </c>
    </row>
    <row r="8" spans="2:21" ht="17" thickBot="1" x14ac:dyDescent="0.25">
      <c r="B8" s="863" t="s">
        <v>363</v>
      </c>
      <c r="C8" s="864"/>
      <c r="E8" s="449" t="s">
        <v>350</v>
      </c>
      <c r="F8" s="449">
        <f>C5*F1</f>
        <v>22500</v>
      </c>
      <c r="G8" s="449">
        <f>$C$5*G1</f>
        <v>45000</v>
      </c>
      <c r="H8" s="449">
        <f>$C$5*H1</f>
        <v>90000</v>
      </c>
      <c r="J8" s="451"/>
      <c r="K8" s="451"/>
      <c r="L8" s="451"/>
      <c r="M8" s="451">
        <f>+M7-K7</f>
        <v>6017.6763722491451</v>
      </c>
      <c r="O8" s="445">
        <v>5</v>
      </c>
      <c r="P8" s="453">
        <f t="shared" si="2"/>
        <v>399265.94505801838</v>
      </c>
      <c r="Q8" s="453">
        <f>P8*(1+'Analyse achat mdf'!$C$10)+PMT('Analyse achat mdf'!$C$10,25,$P$4)</f>
        <v>386776.86420548143</v>
      </c>
      <c r="R8" s="453">
        <f t="shared" si="3"/>
        <v>374978.61378475238</v>
      </c>
      <c r="S8" s="453">
        <f>R8*(1+'Analyse achat mdf'!$C$10)+PMT('Analyse achat mdf'!$C$10,25,$R$4)</f>
        <v>363249.24321484443</v>
      </c>
      <c r="T8" s="453">
        <f t="shared" si="4"/>
        <v>323292.26320487307</v>
      </c>
      <c r="U8" s="453">
        <f>T8*(1+'Analyse achat mdf'!$C$10)+PMT('Analyse achat mdf'!$C$10,25,$T$4)</f>
        <v>313179.64712994435</v>
      </c>
    </row>
    <row r="9" spans="2:21" ht="17" thickBot="1" x14ac:dyDescent="0.25">
      <c r="B9" s="448" t="s">
        <v>364</v>
      </c>
      <c r="C9" s="478">
        <v>500000</v>
      </c>
      <c r="E9" s="449" t="s">
        <v>4</v>
      </c>
      <c r="F9" s="482">
        <v>1500</v>
      </c>
      <c r="G9" s="449">
        <f>+F9</f>
        <v>1500</v>
      </c>
      <c r="H9" s="449">
        <f>+G9</f>
        <v>1500</v>
      </c>
      <c r="O9" s="445">
        <v>6</v>
      </c>
      <c r="P9" s="453">
        <f t="shared" si="2"/>
        <v>386776.86420548143</v>
      </c>
      <c r="Q9" s="453">
        <f>P9*(1+'Analyse achat mdf'!$C$10)+PMT('Analyse achat mdf'!$C$10,25,$P$4)</f>
        <v>373788.22011884296</v>
      </c>
      <c r="R9" s="453">
        <f t="shared" si="3"/>
        <v>363249.24321484443</v>
      </c>
      <c r="S9" s="453">
        <f>R9*(1+'Analyse achat mdf'!$C$10)+PMT('Analyse achat mdf'!$C$10,25,$R$4)</f>
        <v>351050.69782214018</v>
      </c>
      <c r="T9" s="453">
        <f t="shared" si="4"/>
        <v>313179.64712994435</v>
      </c>
      <c r="U9" s="453">
        <f>T9*(1+'Analyse achat mdf'!$C$10)+PMT('Analyse achat mdf'!$C$10,25,$T$4)</f>
        <v>302662.52641201846</v>
      </c>
    </row>
    <row r="10" spans="2:21" ht="17" thickBot="1" x14ac:dyDescent="0.25">
      <c r="B10" s="448" t="s">
        <v>102</v>
      </c>
      <c r="C10" s="479">
        <v>0.04</v>
      </c>
      <c r="E10" s="449" t="s">
        <v>365</v>
      </c>
      <c r="F10" s="449">
        <f>+C6</f>
        <v>4049.9999999999995</v>
      </c>
      <c r="G10" s="449">
        <f>+F10</f>
        <v>4049.9999999999995</v>
      </c>
      <c r="H10" s="449">
        <f>+G10</f>
        <v>4049.9999999999995</v>
      </c>
      <c r="J10" s="875" t="str">
        <f>+"LOCATION DANS "&amp;C31&amp;" ANNÉES"</f>
        <v>LOCATION DANS 15 ANNÉES</v>
      </c>
      <c r="K10" s="876"/>
      <c r="L10" s="876"/>
      <c r="M10" s="877"/>
      <c r="O10" s="445">
        <v>7</v>
      </c>
      <c r="P10" s="453">
        <f t="shared" si="2"/>
        <v>373788.22011884296</v>
      </c>
      <c r="Q10" s="453">
        <f>P10*(1+'Analyse achat mdf'!$C$10)+PMT('Analyse achat mdf'!$C$10,25,$P$4)</f>
        <v>360280.03026873898</v>
      </c>
      <c r="R10" s="453">
        <f t="shared" si="3"/>
        <v>351050.69782214018</v>
      </c>
      <c r="S10" s="453">
        <f>R10*(1+'Analyse achat mdf'!$C$10)+PMT('Analyse achat mdf'!$C$10,25,$R$4)</f>
        <v>338364.21061372774</v>
      </c>
      <c r="T10" s="453">
        <f t="shared" si="4"/>
        <v>302662.52641201846</v>
      </c>
      <c r="U10" s="453">
        <f>T10*(1+'Analyse achat mdf'!$C$10)+PMT('Analyse achat mdf'!$C$10,25,$T$4)</f>
        <v>291724.72086537554</v>
      </c>
    </row>
    <row r="11" spans="2:21" ht="16" x14ac:dyDescent="0.2">
      <c r="B11" s="448" t="s">
        <v>366</v>
      </c>
      <c r="C11" s="480">
        <v>25</v>
      </c>
      <c r="E11" s="460" t="s">
        <v>367</v>
      </c>
      <c r="F11" s="449">
        <f>F4*0.09</f>
        <v>1539</v>
      </c>
      <c r="G11" s="449">
        <f>G4*0.09</f>
        <v>1129.95</v>
      </c>
      <c r="H11" s="449">
        <f>H4*0.09</f>
        <v>0</v>
      </c>
      <c r="J11" s="451" t="s">
        <v>368</v>
      </c>
      <c r="K11" s="461">
        <f>-PMT($C$34/12,IF(K4/K3&gt;0.8,25,25)*12,K4)</f>
        <v>1094.640052330345</v>
      </c>
      <c r="L11" s="461">
        <f>-PMT($C$34/12,IF(L4/L3&gt;0.8,25,25)*12,L4)</f>
        <v>1028.0531422645026</v>
      </c>
      <c r="M11" s="461">
        <f>-PMT($C$34/12,IF(M4/M3&gt;0.8,25,25)*12,M4)</f>
        <v>886.34822051039941</v>
      </c>
      <c r="O11" s="445">
        <v>8</v>
      </c>
      <c r="P11" s="453">
        <f t="shared" si="2"/>
        <v>360280.03026873898</v>
      </c>
      <c r="Q11" s="453">
        <f>P11*(1+'Analyse achat mdf'!$C$10)+PMT('Analyse achat mdf'!$C$10,25,$P$4)</f>
        <v>346231.51282463083</v>
      </c>
      <c r="R11" s="453">
        <f t="shared" si="3"/>
        <v>338364.21061372774</v>
      </c>
      <c r="S11" s="453">
        <f>R11*(1+'Analyse achat mdf'!$C$10)+PMT('Analyse achat mdf'!$C$10,25,$R$4)</f>
        <v>325170.26391697885</v>
      </c>
      <c r="T11" s="453">
        <f t="shared" si="4"/>
        <v>291724.72086537554</v>
      </c>
      <c r="U11" s="453">
        <f>T11*(1+'Analyse achat mdf'!$C$10)+PMT('Analyse achat mdf'!$C$10,25,$T$4)</f>
        <v>280349.40309686691</v>
      </c>
    </row>
    <row r="12" spans="2:21" ht="16" x14ac:dyDescent="0.2">
      <c r="B12" s="448" t="s">
        <v>369</v>
      </c>
      <c r="C12" s="481">
        <v>0</v>
      </c>
      <c r="E12" s="449" t="s">
        <v>370</v>
      </c>
      <c r="F12" s="449">
        <v>1000</v>
      </c>
      <c r="G12" s="449">
        <f>+F12</f>
        <v>1000</v>
      </c>
      <c r="H12" s="449">
        <f>+G12</f>
        <v>1000</v>
      </c>
      <c r="J12" s="449" t="s">
        <v>371</v>
      </c>
      <c r="K12" s="451">
        <f t="shared" ref="K12:M14" si="5">+F22*(1+$C$33)^$C$31</f>
        <v>538.34733532965174</v>
      </c>
      <c r="L12" s="451">
        <f t="shared" si="5"/>
        <v>538.34733532965174</v>
      </c>
      <c r="M12" s="451">
        <f t="shared" si="5"/>
        <v>538.34733532965174</v>
      </c>
      <c r="O12" s="445">
        <v>9</v>
      </c>
      <c r="P12" s="453">
        <f t="shared" si="2"/>
        <v>346231.51282463083</v>
      </c>
      <c r="Q12" s="453">
        <f>P12*(1+'Analyse achat mdf'!$C$10)+PMT('Analyse achat mdf'!$C$10,25,$P$4)</f>
        <v>331621.05468275835</v>
      </c>
      <c r="R12" s="453">
        <f t="shared" si="3"/>
        <v>325170.26391697885</v>
      </c>
      <c r="S12" s="453">
        <f>R12*(1+'Analyse achat mdf'!$C$10)+PMT('Analyse achat mdf'!$C$10,25,$R$4)</f>
        <v>311448.55935235997</v>
      </c>
      <c r="T12" s="453">
        <f t="shared" si="4"/>
        <v>280349.40309686691</v>
      </c>
      <c r="U12" s="453">
        <f>T12*(1+'Analyse achat mdf'!$C$10)+PMT('Analyse achat mdf'!$C$10,25,$T$4)</f>
        <v>268519.0726176179</v>
      </c>
    </row>
    <row r="13" spans="2:21" ht="16" thickBot="1" x14ac:dyDescent="0.25">
      <c r="E13" s="454" t="s">
        <v>359</v>
      </c>
      <c r="F13" s="454">
        <f>+SUM(F8:F12)</f>
        <v>30589</v>
      </c>
      <c r="G13" s="454">
        <f t="shared" ref="G13:H13" si="6">+SUM(G8:G12)</f>
        <v>52679.95</v>
      </c>
      <c r="H13" s="454">
        <f t="shared" si="6"/>
        <v>96550</v>
      </c>
      <c r="J13" s="449" t="s">
        <v>372</v>
      </c>
      <c r="K13" s="451">
        <f t="shared" si="5"/>
        <v>134.58683383241294</v>
      </c>
      <c r="L13" s="451">
        <f t="shared" si="5"/>
        <v>134.58683383241294</v>
      </c>
      <c r="M13" s="451">
        <f t="shared" si="5"/>
        <v>134.58683383241294</v>
      </c>
      <c r="O13" s="445">
        <v>10</v>
      </c>
      <c r="P13" s="453">
        <f t="shared" si="2"/>
        <v>331621.05468275835</v>
      </c>
      <c r="Q13" s="453">
        <f>P13*(1+'Analyse achat mdf'!$C$10)+PMT('Analyse achat mdf'!$C$10,25,$P$4)</f>
        <v>316426.17821521097</v>
      </c>
      <c r="R13" s="453">
        <f t="shared" si="3"/>
        <v>311448.55935235997</v>
      </c>
      <c r="S13" s="453">
        <f>R13*(1+'Analyse achat mdf'!$C$10)+PMT('Analyse achat mdf'!$C$10,25,$R$4)</f>
        <v>297177.98660515633</v>
      </c>
      <c r="T13" s="453">
        <f t="shared" si="4"/>
        <v>268519.0726176179</v>
      </c>
      <c r="U13" s="453">
        <f>T13*(1+'Analyse achat mdf'!$C$10)+PMT('Analyse achat mdf'!$C$10,25,$T$4)</f>
        <v>256215.52891919896</v>
      </c>
    </row>
    <row r="14" spans="2:21" ht="18" thickTop="1" thickBot="1" x14ac:dyDescent="0.25">
      <c r="B14" s="863" t="s">
        <v>373</v>
      </c>
      <c r="C14" s="864"/>
      <c r="E14" s="451"/>
      <c r="F14" s="451"/>
      <c r="G14" s="451"/>
      <c r="H14" s="451"/>
      <c r="J14" s="449" t="s">
        <v>374</v>
      </c>
      <c r="K14" s="451">
        <f t="shared" si="5"/>
        <v>0</v>
      </c>
      <c r="L14" s="451">
        <f t="shared" si="5"/>
        <v>0</v>
      </c>
      <c r="M14" s="451">
        <f t="shared" si="5"/>
        <v>0</v>
      </c>
      <c r="O14" s="445">
        <v>11</v>
      </c>
      <c r="P14" s="453">
        <f t="shared" si="2"/>
        <v>316426.17821521097</v>
      </c>
      <c r="Q14" s="453">
        <f>P14*(1+'Analyse achat mdf'!$C$10)+PMT('Analyse achat mdf'!$C$10,25,$P$4)</f>
        <v>300623.5066889617</v>
      </c>
      <c r="R14" s="453">
        <f t="shared" si="3"/>
        <v>297177.98660515633</v>
      </c>
      <c r="S14" s="453">
        <f>R14*(1+'Analyse achat mdf'!$C$10)+PMT('Analyse achat mdf'!$C$10,25,$R$4)</f>
        <v>282336.59094806458</v>
      </c>
      <c r="T14" s="453">
        <f t="shared" si="4"/>
        <v>256215.52891919896</v>
      </c>
      <c r="U14" s="453">
        <f>T14*(1+'Analyse achat mdf'!$C$10)+PMT('Analyse achat mdf'!$C$10,25,$T$4)</f>
        <v>243419.84347284323</v>
      </c>
    </row>
    <row r="15" spans="2:21" ht="17" thickBot="1" x14ac:dyDescent="0.25">
      <c r="B15" s="462" t="s">
        <v>375</v>
      </c>
      <c r="C15" s="477">
        <v>100000</v>
      </c>
      <c r="E15" s="872" t="s">
        <v>376</v>
      </c>
      <c r="F15" s="873"/>
      <c r="G15" s="873"/>
      <c r="H15" s="874"/>
      <c r="J15" s="449" t="s">
        <v>377</v>
      </c>
      <c r="K15" s="451">
        <f>+F26*(1+$C$33)^$C$31</f>
        <v>201.88025074861937</v>
      </c>
      <c r="L15" s="451">
        <f>+G26*(1+$C$33)^$C$31</f>
        <v>201.88025074861937</v>
      </c>
      <c r="M15" s="451">
        <f>+H26*(1+$C$33)^$C$31</f>
        <v>201.88025074861937</v>
      </c>
      <c r="O15" s="445">
        <v>12</v>
      </c>
      <c r="P15" s="453">
        <f t="shared" si="2"/>
        <v>300623.5066889617</v>
      </c>
      <c r="Q15" s="453">
        <f>P15*(1+'Analyse achat mdf'!$C$10)+PMT('Analyse achat mdf'!$C$10,25,$P$4)</f>
        <v>284188.72830166249</v>
      </c>
      <c r="R15" s="453">
        <f t="shared" si="3"/>
        <v>282336.59094806458</v>
      </c>
      <c r="S15" s="453">
        <f>R15*(1+'Analyse achat mdf'!$C$10)+PMT('Analyse achat mdf'!$C$10,25,$R$4)</f>
        <v>266901.53946468915</v>
      </c>
      <c r="T15" s="453">
        <f t="shared" si="4"/>
        <v>243419.84347284323</v>
      </c>
      <c r="U15" s="453">
        <f>T15*(1+'Analyse achat mdf'!$C$10)+PMT('Analyse achat mdf'!$C$10,25,$T$4)</f>
        <v>230112.33060863332</v>
      </c>
    </row>
    <row r="16" spans="2:21" ht="16" x14ac:dyDescent="0.2">
      <c r="B16" s="448" t="s">
        <v>378</v>
      </c>
      <c r="C16" s="477">
        <v>100000</v>
      </c>
      <c r="E16" s="449" t="s">
        <v>379</v>
      </c>
      <c r="F16" s="449">
        <v>0</v>
      </c>
      <c r="G16" s="449">
        <f>+F16</f>
        <v>0</v>
      </c>
      <c r="H16" s="449">
        <f>+F16</f>
        <v>0</v>
      </c>
      <c r="J16" s="449" t="s">
        <v>380</v>
      </c>
      <c r="K16" s="451">
        <f>+F27</f>
        <v>0</v>
      </c>
      <c r="L16" s="451">
        <f>+G27</f>
        <v>0</v>
      </c>
      <c r="M16" s="451">
        <f>+H27</f>
        <v>0</v>
      </c>
      <c r="O16" s="445">
        <v>13</v>
      </c>
      <c r="P16" s="453">
        <f t="shared" si="2"/>
        <v>284188.72830166249</v>
      </c>
      <c r="Q16" s="453">
        <f>P16*(1+'Analyse achat mdf'!$C$10)+PMT('Analyse achat mdf'!$C$10,25,$P$4)</f>
        <v>267096.55877887126</v>
      </c>
      <c r="R16" s="453">
        <f t="shared" si="3"/>
        <v>266901.53946468915</v>
      </c>
      <c r="S16" s="453">
        <f>R16*(1+'Analyse achat mdf'!$C$10)+PMT('Analyse achat mdf'!$C$10,25,$R$4)</f>
        <v>250849.08592197867</v>
      </c>
      <c r="T16" s="453">
        <f t="shared" si="4"/>
        <v>230112.33060863332</v>
      </c>
      <c r="U16" s="453">
        <f>T16*(1+'Analyse achat mdf'!$C$10)+PMT('Analyse achat mdf'!$C$10,25,$T$4)</f>
        <v>216272.517229855</v>
      </c>
    </row>
    <row r="17" spans="2:24" ht="16" x14ac:dyDescent="0.2">
      <c r="B17" s="448" t="s">
        <v>381</v>
      </c>
      <c r="C17" s="477">
        <v>0</v>
      </c>
      <c r="E17" s="463" t="s">
        <v>382</v>
      </c>
      <c r="F17" s="464">
        <f>+F3*$C$12</f>
        <v>0</v>
      </c>
      <c r="G17" s="464">
        <f>+G3*$C$12</f>
        <v>0</v>
      </c>
      <c r="H17" s="464">
        <f>+H3*$C$12</f>
        <v>0</v>
      </c>
      <c r="J17" s="449" t="s">
        <v>383</v>
      </c>
      <c r="K17" s="451">
        <f>+F28</f>
        <v>100</v>
      </c>
      <c r="L17" s="451">
        <f>+K17</f>
        <v>100</v>
      </c>
      <c r="M17" s="451">
        <f>+L17</f>
        <v>100</v>
      </c>
      <c r="O17" s="445">
        <v>14</v>
      </c>
      <c r="P17" s="453">
        <f t="shared" si="2"/>
        <v>267096.55877887126</v>
      </c>
      <c r="Q17" s="453">
        <f>P17*(1+'Analyse achat mdf'!$C$10)+PMT('Analyse achat mdf'!$C$10,25,$P$4)</f>
        <v>249320.70247516839</v>
      </c>
      <c r="R17" s="453">
        <f t="shared" si="3"/>
        <v>250849.08592197867</v>
      </c>
      <c r="S17" s="453">
        <f>R17*(1+'Analyse achat mdf'!$C$10)+PMT('Analyse achat mdf'!$C$10,25,$R$4)</f>
        <v>234154.53423755977</v>
      </c>
      <c r="T17" s="453">
        <f t="shared" si="4"/>
        <v>216272.517229855</v>
      </c>
      <c r="U17" s="453">
        <f>T17*(1+'Analyse achat mdf'!$C$10)+PMT('Analyse achat mdf'!$C$10,25,$T$4)</f>
        <v>201879.11131592555</v>
      </c>
    </row>
    <row r="18" spans="2:24" ht="17" thickBot="1" x14ac:dyDescent="0.25">
      <c r="B18" s="448" t="s">
        <v>384</v>
      </c>
      <c r="C18" s="465">
        <f>F30</f>
        <v>3246.7625919639177</v>
      </c>
      <c r="E18" s="454" t="s">
        <v>385</v>
      </c>
      <c r="F18" s="466">
        <f>$C$16-F13+F17-F16</f>
        <v>69411</v>
      </c>
      <c r="G18" s="466">
        <f t="shared" ref="G18:H18" si="7">$C$16-G13+G17-G16</f>
        <v>47320.05</v>
      </c>
      <c r="H18" s="466">
        <f t="shared" si="7"/>
        <v>3450</v>
      </c>
      <c r="J18" s="467" t="s">
        <v>386</v>
      </c>
      <c r="K18" s="468">
        <f>+SUM(K11:K17)</f>
        <v>2069.4544722410292</v>
      </c>
      <c r="L18" s="468">
        <f t="shared" ref="L18:M18" si="8">+SUM(L11:L17)</f>
        <v>2002.8675621751868</v>
      </c>
      <c r="M18" s="468">
        <f t="shared" si="8"/>
        <v>1861.1626404210833</v>
      </c>
      <c r="O18" s="445">
        <v>15</v>
      </c>
      <c r="P18" s="453">
        <f t="shared" si="2"/>
        <v>249320.70247516839</v>
      </c>
      <c r="Q18" s="453">
        <f>P18*(1+'Analyse achat mdf'!$C$10)+PMT('Analyse achat mdf'!$C$10,25,$P$4)</f>
        <v>230833.81191931744</v>
      </c>
      <c r="R18" s="453">
        <f t="shared" si="3"/>
        <v>234154.53423755977</v>
      </c>
      <c r="S18" s="453">
        <f>R18*(1+'Analyse achat mdf'!$C$10)+PMT('Analyse achat mdf'!$C$10,25,$R$4)</f>
        <v>216792.2004857641</v>
      </c>
      <c r="T18" s="453">
        <f t="shared" si="4"/>
        <v>201879.11131592555</v>
      </c>
      <c r="U18" s="453">
        <f>T18*(1+'Analyse achat mdf'!$C$10)+PMT('Analyse achat mdf'!$C$10,25,$T$4)</f>
        <v>186909.9691654389</v>
      </c>
    </row>
    <row r="19" spans="2:24" ht="17" thickTop="1" thickBot="1" x14ac:dyDescent="0.25">
      <c r="E19" s="451"/>
      <c r="F19" s="451"/>
      <c r="G19" s="451"/>
      <c r="H19" s="451"/>
      <c r="J19" s="449" t="s">
        <v>387</v>
      </c>
      <c r="K19" s="451">
        <f>+C35</f>
        <v>0</v>
      </c>
      <c r="L19" s="451">
        <f>+K19</f>
        <v>0</v>
      </c>
      <c r="M19" s="451">
        <f>+L19</f>
        <v>0</v>
      </c>
      <c r="O19" s="445">
        <v>16</v>
      </c>
      <c r="P19" s="453">
        <f t="shared" si="2"/>
        <v>230833.81191931744</v>
      </c>
      <c r="Q19" s="453">
        <f>P19*(1+'Analyse achat mdf'!$C$10)+PMT('Analyse achat mdf'!$C$10,25,$P$4)</f>
        <v>211607.44574123243</v>
      </c>
      <c r="R19" s="453">
        <f t="shared" si="3"/>
        <v>216792.2004857641</v>
      </c>
      <c r="S19" s="453">
        <f>R19*(1+'Analyse achat mdf'!$C$10)+PMT('Analyse achat mdf'!$C$10,25,$R$4)</f>
        <v>198735.37338389663</v>
      </c>
      <c r="T19" s="453">
        <f t="shared" si="4"/>
        <v>186909.9691654389</v>
      </c>
      <c r="U19" s="453">
        <f>T19*(1+'Analyse achat mdf'!$C$10)+PMT('Analyse achat mdf'!$C$10,25,$T$4)</f>
        <v>171342.06132893279</v>
      </c>
    </row>
    <row r="20" spans="2:24" ht="17" thickBot="1" x14ac:dyDescent="0.25">
      <c r="B20" s="863" t="s">
        <v>388</v>
      </c>
      <c r="C20" s="864"/>
      <c r="E20" s="872" t="s">
        <v>389</v>
      </c>
      <c r="F20" s="873"/>
      <c r="G20" s="873"/>
      <c r="H20" s="874"/>
      <c r="J20" s="454" t="s">
        <v>390</v>
      </c>
      <c r="K20" s="459">
        <f>+K19-K18</f>
        <v>-2069.4544722410292</v>
      </c>
      <c r="L20" s="459">
        <f t="shared" ref="L20:M20" si="9">+L19-L18</f>
        <v>-2002.8675621751868</v>
      </c>
      <c r="M20" s="459">
        <f t="shared" si="9"/>
        <v>-1861.1626404210833</v>
      </c>
      <c r="O20" s="445">
        <v>17</v>
      </c>
      <c r="P20" s="453">
        <f t="shared" si="2"/>
        <v>211607.44574123243</v>
      </c>
      <c r="Q20" s="453">
        <f>P20*(1+'Analyse achat mdf'!$C$10)+PMT('Analyse achat mdf'!$C$10,25,$P$4)</f>
        <v>191612.02491602401</v>
      </c>
      <c r="R20" s="453">
        <f t="shared" si="3"/>
        <v>198735.37338389663</v>
      </c>
      <c r="S20" s="453">
        <f>R20*(1+'Analyse achat mdf'!$C$10)+PMT('Analyse achat mdf'!$C$10,25,$R$4)</f>
        <v>179956.27319795443</v>
      </c>
      <c r="T20" s="453">
        <f t="shared" si="4"/>
        <v>171342.06132893279</v>
      </c>
      <c r="U20" s="453">
        <f>T20*(1+'Analyse achat mdf'!$C$10)+PMT('Analyse achat mdf'!$C$10,25,$T$4)</f>
        <v>155151.43717896644</v>
      </c>
    </row>
    <row r="21" spans="2:24" ht="16" x14ac:dyDescent="0.2">
      <c r="B21" s="448" t="s">
        <v>371</v>
      </c>
      <c r="C21" s="477">
        <v>400</v>
      </c>
      <c r="E21" s="449" t="s">
        <v>353</v>
      </c>
      <c r="F21" s="469">
        <f>-PMT($C$10/12,C11*12,F5)</f>
        <v>2346.7625919639177</v>
      </c>
      <c r="G21" s="449">
        <f>-PMT($C$10/12,$C$11*12,G5)</f>
        <v>2204.0091185053839</v>
      </c>
      <c r="H21" s="469">
        <f>-PMT($C$10/12,$C$11*12,H5)</f>
        <v>1900.2126250719982</v>
      </c>
      <c r="I21" s="457"/>
      <c r="J21" s="449" t="s">
        <v>391</v>
      </c>
      <c r="K21" s="470">
        <f>K4/30/12</f>
        <v>641.20503310921515</v>
      </c>
      <c r="L21" s="470">
        <f>L4/30/12</f>
        <v>602.20055690490028</v>
      </c>
      <c r="M21" s="470">
        <f>M4/30/12</f>
        <v>519.19435879288585</v>
      </c>
      <c r="O21" s="445">
        <v>18</v>
      </c>
      <c r="P21" s="453">
        <f t="shared" si="2"/>
        <v>191612.02491602401</v>
      </c>
      <c r="Q21" s="453">
        <f>P21*(1+'Analyse achat mdf'!$C$10)+PMT('Analyse achat mdf'!$C$10,25,$P$4)</f>
        <v>170816.78725780727</v>
      </c>
      <c r="R21" s="453">
        <f t="shared" si="3"/>
        <v>179956.27319795443</v>
      </c>
      <c r="S21" s="453">
        <f>R21*(1+'Analyse achat mdf'!$C$10)+PMT('Analyse achat mdf'!$C$10,25,$R$4)</f>
        <v>160426.00900457456</v>
      </c>
      <c r="T21" s="453">
        <f t="shared" si="4"/>
        <v>155151.43717896644</v>
      </c>
      <c r="U21" s="453">
        <f>T21*(1+'Analyse achat mdf'!$C$10)+PMT('Analyse achat mdf'!$C$10,25,$T$4)</f>
        <v>138313.18806300143</v>
      </c>
    </row>
    <row r="22" spans="2:24" ht="16" x14ac:dyDescent="0.2">
      <c r="B22" s="448" t="s">
        <v>372</v>
      </c>
      <c r="C22" s="477">
        <v>100</v>
      </c>
      <c r="E22" s="449" t="s">
        <v>371</v>
      </c>
      <c r="F22" s="449">
        <f t="shared" ref="F22:F28" si="10">+C21</f>
        <v>400</v>
      </c>
      <c r="G22" s="449">
        <f t="shared" ref="G22:H23" si="11">+F22</f>
        <v>400</v>
      </c>
      <c r="H22" s="449">
        <f t="shared" si="11"/>
        <v>400</v>
      </c>
      <c r="J22" s="450" t="s">
        <v>392</v>
      </c>
      <c r="K22" s="470">
        <f>$C$5*0.01/12</f>
        <v>375</v>
      </c>
      <c r="L22" s="470">
        <f t="shared" ref="L22:M22" si="12">$C$5*0.01/12</f>
        <v>375</v>
      </c>
      <c r="M22" s="470">
        <f t="shared" si="12"/>
        <v>375</v>
      </c>
      <c r="O22" s="445">
        <v>19</v>
      </c>
      <c r="P22" s="453">
        <f t="shared" si="2"/>
        <v>170816.78725780727</v>
      </c>
      <c r="Q22" s="453">
        <f>P22*(1+'Analyse achat mdf'!$C$10)+PMT('Analyse achat mdf'!$C$10,25,$P$4)</f>
        <v>149189.74009326185</v>
      </c>
      <c r="R22" s="453">
        <f t="shared" si="3"/>
        <v>160426.00900457456</v>
      </c>
      <c r="S22" s="453">
        <f>R22*(1+'Analyse achat mdf'!$C$10)+PMT('Analyse achat mdf'!$C$10,25,$R$4)</f>
        <v>140114.53424345949</v>
      </c>
      <c r="T22" s="453">
        <f t="shared" si="4"/>
        <v>138313.18806300143</v>
      </c>
      <c r="U22" s="453">
        <f>T22*(1+'Analyse achat mdf'!$C$10)+PMT('Analyse achat mdf'!$C$10,25,$T$4)</f>
        <v>120801.40898239784</v>
      </c>
    </row>
    <row r="23" spans="2:24" ht="17" thickBot="1" x14ac:dyDescent="0.25">
      <c r="B23" s="448" t="s">
        <v>374</v>
      </c>
      <c r="C23" s="477">
        <v>0</v>
      </c>
      <c r="E23" s="449" t="s">
        <v>372</v>
      </c>
      <c r="F23" s="449">
        <f t="shared" si="10"/>
        <v>100</v>
      </c>
      <c r="G23" s="449">
        <f t="shared" si="11"/>
        <v>100</v>
      </c>
      <c r="H23" s="449">
        <f t="shared" si="11"/>
        <v>100</v>
      </c>
      <c r="J23" s="471" t="s">
        <v>393</v>
      </c>
      <c r="K23" s="459">
        <f>K22+K21+K20</f>
        <v>-1053.2494391318141</v>
      </c>
      <c r="L23" s="459">
        <f t="shared" ref="L23:M23" si="13">L22+L21+L20</f>
        <v>-1025.6670052702866</v>
      </c>
      <c r="M23" s="459">
        <f t="shared" si="13"/>
        <v>-966.96828162819747</v>
      </c>
      <c r="O23" s="445">
        <v>20</v>
      </c>
      <c r="P23" s="453">
        <f t="shared" si="2"/>
        <v>149189.74009326185</v>
      </c>
      <c r="Q23" s="453">
        <f>P23*(1+'Analyse achat mdf'!$C$10)+PMT('Analyse achat mdf'!$C$10,25,$P$4)</f>
        <v>126697.61104213461</v>
      </c>
      <c r="R23" s="453">
        <f t="shared" si="3"/>
        <v>140114.53424345949</v>
      </c>
      <c r="S23" s="453">
        <f>R23*(1+'Analyse achat mdf'!$C$10)+PMT('Analyse achat mdf'!$C$10,25,$R$4)</f>
        <v>118990.60049189982</v>
      </c>
      <c r="T23" s="453">
        <f t="shared" si="4"/>
        <v>120801.40898239784</v>
      </c>
      <c r="U23" s="453">
        <f>T23*(1+'Analyse achat mdf'!$C$10)+PMT('Analyse achat mdf'!$C$10,25,$T$4)</f>
        <v>102589.15873857011</v>
      </c>
    </row>
    <row r="24" spans="2:24" ht="16" x14ac:dyDescent="0.2">
      <c r="B24" s="448" t="s">
        <v>394</v>
      </c>
      <c r="C24" s="477">
        <v>150</v>
      </c>
      <c r="E24" s="449" t="s">
        <v>374</v>
      </c>
      <c r="F24" s="449">
        <f t="shared" si="10"/>
        <v>0</v>
      </c>
      <c r="G24" s="449">
        <f>+F24</f>
        <v>0</v>
      </c>
      <c r="H24" s="449">
        <f>+G24</f>
        <v>0</v>
      </c>
      <c r="J24" s="484"/>
      <c r="K24" s="484"/>
      <c r="L24" s="484"/>
      <c r="M24" s="484"/>
      <c r="O24" s="445">
        <v>21</v>
      </c>
      <c r="P24" s="453">
        <f t="shared" si="2"/>
        <v>126697.61104213461</v>
      </c>
      <c r="Q24" s="453">
        <f>P24*(1+'Analyse achat mdf'!$C$10)+PMT('Analyse achat mdf'!$C$10,25,$P$4)</f>
        <v>103305.79682896228</v>
      </c>
      <c r="R24" s="453">
        <f t="shared" si="3"/>
        <v>118990.60049189982</v>
      </c>
      <c r="S24" s="453">
        <f>R24*(1+'Analyse achat mdf'!$C$10)+PMT('Analyse achat mdf'!$C$10,25,$R$4)</f>
        <v>97021.709390277756</v>
      </c>
      <c r="T24" s="453">
        <f t="shared" si="4"/>
        <v>102589.15873857011</v>
      </c>
      <c r="U24" s="453">
        <f>T24*(1+'Analyse achat mdf'!$C$10)+PMT('Analyse achat mdf'!$C$10,25,$T$4)</f>
        <v>83648.418484989263</v>
      </c>
    </row>
    <row r="25" spans="2:24" ht="16" x14ac:dyDescent="0.2">
      <c r="B25" s="448" t="s">
        <v>395</v>
      </c>
      <c r="C25" s="477">
        <v>150</v>
      </c>
      <c r="E25" s="449" t="s">
        <v>394</v>
      </c>
      <c r="F25" s="449">
        <f t="shared" si="10"/>
        <v>150</v>
      </c>
      <c r="G25" s="449">
        <f t="shared" ref="G25:H29" si="14">+F25</f>
        <v>150</v>
      </c>
      <c r="H25" s="449">
        <f t="shared" si="14"/>
        <v>150</v>
      </c>
      <c r="J25" s="484"/>
      <c r="K25" s="484"/>
      <c r="L25" s="484"/>
      <c r="M25" s="484"/>
      <c r="O25" s="445">
        <v>22</v>
      </c>
      <c r="P25" s="453">
        <f t="shared" si="2"/>
        <v>103305.79682896228</v>
      </c>
      <c r="Q25" s="453">
        <f>P25*(1+'Analyse achat mdf'!$C$10)+PMT('Analyse achat mdf'!$C$10,25,$P$4)</f>
        <v>78978.310047263061</v>
      </c>
      <c r="R25" s="453">
        <f t="shared" si="3"/>
        <v>97021.709390277756</v>
      </c>
      <c r="S25" s="453">
        <f>R25*(1+'Analyse achat mdf'!$C$10)+PMT('Analyse achat mdf'!$C$10,25,$R$4)</f>
        <v>74174.062644590813</v>
      </c>
      <c r="T25" s="453">
        <f t="shared" si="4"/>
        <v>83648.418484989263</v>
      </c>
      <c r="U25" s="453">
        <f>T25*(1+'Analyse achat mdf'!$C$10)+PMT('Analyse achat mdf'!$C$10,25,$T$4)</f>
        <v>63950.048621265181</v>
      </c>
    </row>
    <row r="26" spans="2:24" ht="16" x14ac:dyDescent="0.2">
      <c r="B26" s="448" t="s">
        <v>380</v>
      </c>
      <c r="C26" s="477">
        <v>0</v>
      </c>
      <c r="E26" s="449" t="s">
        <v>395</v>
      </c>
      <c r="F26" s="449">
        <f t="shared" si="10"/>
        <v>150</v>
      </c>
      <c r="G26" s="449">
        <f t="shared" si="14"/>
        <v>150</v>
      </c>
      <c r="H26" s="449">
        <f t="shared" si="14"/>
        <v>150</v>
      </c>
      <c r="J26" s="484"/>
      <c r="K26" s="484"/>
      <c r="L26" s="484"/>
      <c r="M26" s="484"/>
      <c r="O26" s="445">
        <v>23</v>
      </c>
      <c r="P26" s="453">
        <f t="shared" si="2"/>
        <v>78978.310047263061</v>
      </c>
      <c r="Q26" s="453">
        <f>P26*(1+'Analyse achat mdf'!$C$10)+PMT('Analyse achat mdf'!$C$10,25,$P$4)</f>
        <v>53677.723794295875</v>
      </c>
      <c r="R26" s="453">
        <f t="shared" si="3"/>
        <v>74174.062644590813</v>
      </c>
      <c r="S26" s="453">
        <f>R26*(1+'Analyse achat mdf'!$C$10)+PMT('Analyse achat mdf'!$C$10,25,$R$4)</f>
        <v>50412.510029076395</v>
      </c>
      <c r="T26" s="453">
        <f t="shared" si="4"/>
        <v>63950.048621265181</v>
      </c>
      <c r="U26" s="453">
        <f>T26*(1+'Analyse achat mdf'!$C$10)+PMT('Analyse achat mdf'!$C$10,25,$T$4)</f>
        <v>43463.743962992135</v>
      </c>
    </row>
    <row r="27" spans="2:24" ht="16" x14ac:dyDescent="0.2">
      <c r="B27" s="448" t="s">
        <v>396</v>
      </c>
      <c r="C27" s="477">
        <v>100</v>
      </c>
      <c r="E27" s="449" t="s">
        <v>380</v>
      </c>
      <c r="F27" s="449">
        <f>+C26</f>
        <v>0</v>
      </c>
      <c r="G27" s="449">
        <f t="shared" si="14"/>
        <v>0</v>
      </c>
      <c r="H27" s="449">
        <f t="shared" si="14"/>
        <v>0</v>
      </c>
      <c r="J27" s="484"/>
      <c r="K27" s="484"/>
      <c r="L27" s="484"/>
      <c r="M27" s="484"/>
      <c r="O27" s="445">
        <v>24</v>
      </c>
      <c r="P27" s="453">
        <f t="shared" si="2"/>
        <v>53677.723794295875</v>
      </c>
      <c r="Q27" s="453">
        <f>P27*(1+'Analyse achat mdf'!$C$10)+PMT('Analyse achat mdf'!$C$10,25,$P$4)</f>
        <v>27365.114091209995</v>
      </c>
      <c r="R27" s="453">
        <f t="shared" si="3"/>
        <v>50412.510029076395</v>
      </c>
      <c r="S27" s="453">
        <f>R27*(1+'Analyse achat mdf'!$C$10)+PMT('Analyse achat mdf'!$C$10,25,$R$4)</f>
        <v>25700.495308941401</v>
      </c>
      <c r="T27" s="453">
        <f t="shared" si="4"/>
        <v>43463.743962992135</v>
      </c>
      <c r="U27" s="453">
        <f>T27*(1+'Analyse achat mdf'!$C$10)+PMT('Analyse achat mdf'!$C$10,25,$T$4)</f>
        <v>22157.987118388162</v>
      </c>
    </row>
    <row r="28" spans="2:24" ht="16" x14ac:dyDescent="0.2">
      <c r="B28" s="448" t="s">
        <v>397</v>
      </c>
      <c r="C28" s="477">
        <v>0</v>
      </c>
      <c r="E28" s="449" t="s">
        <v>396</v>
      </c>
      <c r="F28" s="449">
        <f t="shared" si="10"/>
        <v>100</v>
      </c>
      <c r="G28" s="449">
        <f t="shared" si="14"/>
        <v>100</v>
      </c>
      <c r="H28" s="449">
        <f t="shared" si="14"/>
        <v>100</v>
      </c>
      <c r="J28" s="484"/>
      <c r="K28" s="484"/>
      <c r="L28" s="484"/>
      <c r="M28" s="484"/>
      <c r="O28" s="445">
        <v>25</v>
      </c>
      <c r="P28" s="453">
        <f t="shared" si="2"/>
        <v>27365.114091209995</v>
      </c>
      <c r="Q28" s="453">
        <f>P28*(1+'Analyse achat mdf'!$C$10)+PMT('Analyse achat mdf'!$C$10,25,$P$4)</f>
        <v>6.8030203692615032E-10</v>
      </c>
      <c r="R28" s="453">
        <f t="shared" si="3"/>
        <v>25700.495308941401</v>
      </c>
      <c r="S28" s="453">
        <f>R28*(1+'Analyse achat mdf'!$C$10)+PMT('Analyse achat mdf'!$C$10,25,$R$4)</f>
        <v>1.0040821507573128E-9</v>
      </c>
      <c r="T28" s="453">
        <f t="shared" si="4"/>
        <v>22157.987118388162</v>
      </c>
      <c r="U28" s="453">
        <f>T28*(1+'Analyse achat mdf'!$C$10)+PMT('Analyse achat mdf'!$C$10,25,$T$4)</f>
        <v>2.9103830456733704E-11</v>
      </c>
    </row>
    <row r="29" spans="2:24" ht="16" thickBot="1" x14ac:dyDescent="0.25">
      <c r="E29" s="449" t="s">
        <v>397</v>
      </c>
      <c r="F29" s="449">
        <f>-C28</f>
        <v>0</v>
      </c>
      <c r="G29" s="449">
        <f t="shared" si="14"/>
        <v>0</v>
      </c>
      <c r="H29" s="449">
        <f t="shared" si="14"/>
        <v>0</v>
      </c>
      <c r="J29" s="484"/>
      <c r="K29" s="484"/>
      <c r="L29" s="484"/>
      <c r="M29" s="484"/>
      <c r="P29" s="472"/>
      <c r="Q29" s="472"/>
      <c r="R29" s="472"/>
      <c r="S29" s="472"/>
      <c r="T29" s="472"/>
      <c r="U29" s="472"/>
    </row>
    <row r="30" spans="2:24" ht="17" thickBot="1" x14ac:dyDescent="0.25">
      <c r="B30" s="863" t="s">
        <v>398</v>
      </c>
      <c r="C30" s="864"/>
      <c r="E30" s="454" t="s">
        <v>359</v>
      </c>
      <c r="F30" s="473">
        <f>SUM(F21:F29)</f>
        <v>3246.7625919639177</v>
      </c>
      <c r="G30" s="454">
        <f>SUM(G21:G29)</f>
        <v>3104.0091185053839</v>
      </c>
      <c r="H30" s="454">
        <f>SUM(H21:H29)</f>
        <v>2800.2126250719984</v>
      </c>
      <c r="I30" s="457"/>
      <c r="J30" s="485"/>
      <c r="K30" s="484"/>
      <c r="L30" s="484"/>
      <c r="M30" s="484"/>
      <c r="P30" s="472"/>
      <c r="Q30" s="472"/>
      <c r="R30" s="472"/>
      <c r="S30" s="472"/>
      <c r="T30" s="472"/>
      <c r="U30" s="472"/>
    </row>
    <row r="31" spans="2:24" ht="16" x14ac:dyDescent="0.2">
      <c r="B31" s="448" t="s">
        <v>399</v>
      </c>
      <c r="C31" s="483">
        <v>15</v>
      </c>
      <c r="E31" s="444"/>
      <c r="F31" s="444"/>
      <c r="G31" s="444"/>
      <c r="H31" s="444"/>
      <c r="J31" s="484"/>
      <c r="K31" s="484"/>
      <c r="L31" s="484"/>
      <c r="M31" s="484"/>
      <c r="P31" s="472"/>
      <c r="Q31" s="472"/>
      <c r="R31" s="472"/>
      <c r="S31" s="472"/>
      <c r="T31" s="472"/>
      <c r="U31" s="472"/>
      <c r="W31" s="474"/>
    </row>
    <row r="32" spans="2:24" ht="16" x14ac:dyDescent="0.2">
      <c r="B32" s="448" t="s">
        <v>400</v>
      </c>
      <c r="C32" s="479">
        <v>7.0000000000000007E-2</v>
      </c>
      <c r="E32" s="444"/>
      <c r="F32" s="444"/>
      <c r="G32" s="475"/>
      <c r="H32" s="444"/>
      <c r="J32" s="484"/>
      <c r="K32" s="484"/>
      <c r="L32" s="484"/>
      <c r="M32" s="484"/>
      <c r="O32" s="878" t="s">
        <v>409</v>
      </c>
      <c r="P32" s="878"/>
      <c r="Q32" s="878"/>
      <c r="R32" s="878"/>
      <c r="S32" s="878"/>
      <c r="T32" s="878"/>
      <c r="U32" s="878"/>
      <c r="V32" s="878"/>
      <c r="W32" s="878"/>
      <c r="X32" s="878"/>
    </row>
    <row r="33" spans="2:24" ht="16" x14ac:dyDescent="0.2">
      <c r="B33" s="448" t="s">
        <v>417</v>
      </c>
      <c r="C33" s="479">
        <v>0.02</v>
      </c>
      <c r="E33" s="444"/>
      <c r="F33" s="444"/>
      <c r="G33" s="444"/>
      <c r="H33" s="444"/>
      <c r="J33" s="484"/>
      <c r="K33" s="484"/>
      <c r="L33" s="484"/>
      <c r="M33" s="484"/>
      <c r="P33" s="878" t="s">
        <v>404</v>
      </c>
      <c r="Q33" s="878"/>
      <c r="R33" s="878"/>
      <c r="S33" s="878" t="s">
        <v>405</v>
      </c>
      <c r="T33" s="878"/>
      <c r="U33" s="878"/>
      <c r="V33" s="878" t="s">
        <v>406</v>
      </c>
      <c r="W33" s="878"/>
      <c r="X33" s="878"/>
    </row>
    <row r="34" spans="2:24" ht="16" x14ac:dyDescent="0.2">
      <c r="B34" s="448" t="s">
        <v>401</v>
      </c>
      <c r="C34" s="481">
        <v>0.03</v>
      </c>
      <c r="E34" s="444"/>
      <c r="F34" s="444"/>
      <c r="G34" s="444"/>
      <c r="H34" s="444"/>
      <c r="J34" s="484"/>
      <c r="K34" s="484"/>
      <c r="L34" s="484"/>
      <c r="M34" s="484"/>
      <c r="P34" s="445" t="s">
        <v>407</v>
      </c>
      <c r="Q34" s="445" t="s">
        <v>410</v>
      </c>
      <c r="R34" s="445" t="s">
        <v>408</v>
      </c>
      <c r="S34" s="445" t="s">
        <v>407</v>
      </c>
      <c r="T34" s="445" t="s">
        <v>410</v>
      </c>
      <c r="U34" s="445" t="s">
        <v>408</v>
      </c>
      <c r="V34" s="445" t="s">
        <v>407</v>
      </c>
      <c r="W34" s="445" t="s">
        <v>410</v>
      </c>
      <c r="X34" s="445" t="s">
        <v>408</v>
      </c>
    </row>
    <row r="35" spans="2:24" ht="16" x14ac:dyDescent="0.2">
      <c r="B35" s="448" t="s">
        <v>402</v>
      </c>
      <c r="C35" s="477">
        <v>0</v>
      </c>
      <c r="E35" s="444"/>
      <c r="F35" s="444"/>
      <c r="G35" s="444"/>
      <c r="H35" s="444"/>
      <c r="J35" s="484"/>
      <c r="K35" s="484"/>
      <c r="L35" s="484"/>
      <c r="M35" s="484"/>
      <c r="O35" s="445">
        <v>1</v>
      </c>
      <c r="P35" s="453">
        <f>'Analyse achat mdf'!F18</f>
        <v>69411</v>
      </c>
      <c r="Q35" s="453">
        <f>(+MAX('Analyse achat mdf'!$F$30,'Analyse achat mdf'!$G$30,'Analyse achat mdf'!$H$30)-'Analyse achat mdf'!F30)*12</f>
        <v>0</v>
      </c>
      <c r="R35" s="453">
        <f>(P35+Q35)*(1+'Analyse achat mdf'!$C$32)</f>
        <v>74269.77</v>
      </c>
      <c r="S35" s="453">
        <f>'Analyse achat mdf'!G18</f>
        <v>47320.05</v>
      </c>
      <c r="T35" s="453">
        <f>(-'Analyse achat mdf'!$G$30+'Analyse achat mdf'!$F$30)*12</f>
        <v>1713.0416815024055</v>
      </c>
      <c r="U35" s="453">
        <f>(S35+T35)*(1+'Analyse achat mdf'!$C$32)</f>
        <v>52465.408099207583</v>
      </c>
      <c r="V35" s="453">
        <f>'Analyse achat mdf'!H18</f>
        <v>3450</v>
      </c>
      <c r="W35" s="453">
        <f>(-'Analyse achat mdf'!$H$30+'Analyse achat mdf'!$F$30)*12</f>
        <v>5358.5996027030305</v>
      </c>
      <c r="X35" s="453">
        <f>(V35+W35)*(1+'Analyse achat mdf'!$C$32)</f>
        <v>9425.201574892244</v>
      </c>
    </row>
    <row r="36" spans="2:24" x14ac:dyDescent="0.2">
      <c r="E36" s="444"/>
      <c r="F36" s="444"/>
      <c r="G36" s="444"/>
      <c r="H36" s="444"/>
      <c r="J36" s="484"/>
      <c r="K36" s="484"/>
      <c r="L36" s="484"/>
      <c r="M36" s="484"/>
      <c r="O36" s="445">
        <v>2</v>
      </c>
      <c r="P36" s="453">
        <f t="shared" ref="P36:P59" si="15">+R35</f>
        <v>74269.77</v>
      </c>
      <c r="Q36" s="453">
        <f t="shared" ref="Q36:Q59" si="16">+Q35</f>
        <v>0</v>
      </c>
      <c r="R36" s="453">
        <f>(P36+Q36)*(1+'Analyse achat mdf'!$C$32)</f>
        <v>79468.653900000005</v>
      </c>
      <c r="S36" s="453">
        <f t="shared" ref="S36:S59" si="17">+U35</f>
        <v>52465.408099207583</v>
      </c>
      <c r="T36" s="453">
        <f t="shared" ref="T36:T59" si="18">+T35</f>
        <v>1713.0416815024055</v>
      </c>
      <c r="U36" s="453">
        <f>(S36+T36)*(1+'Analyse achat mdf'!$C$32)</f>
        <v>57970.941265359696</v>
      </c>
      <c r="V36" s="453">
        <f t="shared" ref="V36:V59" si="19">+X35</f>
        <v>9425.201574892244</v>
      </c>
      <c r="W36" s="453">
        <f t="shared" ref="W36:W59" si="20">+W35</f>
        <v>5358.5996027030305</v>
      </c>
      <c r="X36" s="453">
        <f>(V36+W36)*(1+'Analyse achat mdf'!$C$32)</f>
        <v>15818.667260026945</v>
      </c>
    </row>
    <row r="37" spans="2:24" hidden="1" x14ac:dyDescent="0.2">
      <c r="O37" s="445">
        <v>3</v>
      </c>
      <c r="P37" s="453">
        <f t="shared" si="15"/>
        <v>79468.653900000005</v>
      </c>
      <c r="Q37" s="453">
        <f t="shared" si="16"/>
        <v>0</v>
      </c>
      <c r="R37" s="453">
        <f>(P37+Q37)*(1+'Analyse achat mdf'!$C$32)</f>
        <v>85031.459673000005</v>
      </c>
      <c r="S37" s="453">
        <f t="shared" si="17"/>
        <v>57970.941265359696</v>
      </c>
      <c r="T37" s="453">
        <f t="shared" si="18"/>
        <v>1713.0416815024055</v>
      </c>
      <c r="U37" s="453">
        <f>(S37+T37)*(1+'Analyse achat mdf'!$C$32)</f>
        <v>63861.861753142453</v>
      </c>
      <c r="V37" s="453">
        <f t="shared" si="19"/>
        <v>15818.667260026945</v>
      </c>
      <c r="W37" s="453">
        <f t="shared" si="20"/>
        <v>5358.5996027030305</v>
      </c>
      <c r="X37" s="453">
        <f>(V37+W37)*(1+'Analyse achat mdf'!$C$32)</f>
        <v>22659.675543121077</v>
      </c>
    </row>
    <row r="38" spans="2:24" hidden="1" x14ac:dyDescent="0.2">
      <c r="O38" s="445">
        <v>4</v>
      </c>
      <c r="P38" s="453">
        <f t="shared" si="15"/>
        <v>85031.459673000005</v>
      </c>
      <c r="Q38" s="453">
        <f t="shared" si="16"/>
        <v>0</v>
      </c>
      <c r="R38" s="453">
        <f>(P38+Q38)*(1+'Analyse achat mdf'!$C$32)</f>
        <v>90983.661850110017</v>
      </c>
      <c r="S38" s="453">
        <f t="shared" si="17"/>
        <v>63861.861753142453</v>
      </c>
      <c r="T38" s="453">
        <f t="shared" si="18"/>
        <v>1713.0416815024055</v>
      </c>
      <c r="U38" s="453">
        <f>(S38+T38)*(1+'Analyse achat mdf'!$C$32)</f>
        <v>70165.146675070006</v>
      </c>
      <c r="V38" s="453">
        <f t="shared" si="19"/>
        <v>22659.675543121077</v>
      </c>
      <c r="W38" s="453">
        <f t="shared" si="20"/>
        <v>5358.5996027030305</v>
      </c>
      <c r="X38" s="453">
        <f>(V38+W38)*(1+'Analyse achat mdf'!$C$32)</f>
        <v>29979.554406031795</v>
      </c>
    </row>
    <row r="39" spans="2:24" hidden="1" x14ac:dyDescent="0.2">
      <c r="O39" s="445">
        <v>5</v>
      </c>
      <c r="P39" s="453">
        <f t="shared" si="15"/>
        <v>90983.661850110017</v>
      </c>
      <c r="Q39" s="453">
        <f t="shared" si="16"/>
        <v>0</v>
      </c>
      <c r="R39" s="453">
        <f>(P39+Q39)*(1+'Analyse achat mdf'!$C$32)</f>
        <v>97352.51817961772</v>
      </c>
      <c r="S39" s="453">
        <f t="shared" si="17"/>
        <v>70165.146675070006</v>
      </c>
      <c r="T39" s="453">
        <f t="shared" si="18"/>
        <v>1713.0416815024055</v>
      </c>
      <c r="U39" s="453">
        <f>(S39+T39)*(1+'Analyse achat mdf'!$C$32)</f>
        <v>76909.661541532492</v>
      </c>
      <c r="V39" s="453">
        <f t="shared" si="19"/>
        <v>29979.554406031795</v>
      </c>
      <c r="W39" s="453">
        <f t="shared" si="20"/>
        <v>5358.5996027030305</v>
      </c>
      <c r="X39" s="453">
        <f>(V39+W39)*(1+'Analyse achat mdf'!$C$32)</f>
        <v>37811.824789346269</v>
      </c>
    </row>
    <row r="40" spans="2:24" hidden="1" x14ac:dyDescent="0.2">
      <c r="O40" s="445">
        <v>6</v>
      </c>
      <c r="P40" s="453">
        <f t="shared" si="15"/>
        <v>97352.51817961772</v>
      </c>
      <c r="Q40" s="453">
        <f t="shared" si="16"/>
        <v>0</v>
      </c>
      <c r="R40" s="453">
        <f>(P40+Q40)*(1+'Analyse achat mdf'!$C$32)</f>
        <v>104167.19445219096</v>
      </c>
      <c r="S40" s="453">
        <f t="shared" si="17"/>
        <v>76909.661541532492</v>
      </c>
      <c r="T40" s="453">
        <f t="shared" si="18"/>
        <v>1713.0416815024055</v>
      </c>
      <c r="U40" s="453">
        <f>(S40+T40)*(1+'Analyse achat mdf'!$C$32)</f>
        <v>84126.292448647349</v>
      </c>
      <c r="V40" s="453">
        <f t="shared" si="19"/>
        <v>37811.824789346269</v>
      </c>
      <c r="W40" s="453">
        <f t="shared" si="20"/>
        <v>5358.5996027030305</v>
      </c>
      <c r="X40" s="453">
        <f>(V40+W40)*(1+'Analyse achat mdf'!$C$32)</f>
        <v>46192.354099492753</v>
      </c>
    </row>
    <row r="41" spans="2:24" hidden="1" x14ac:dyDescent="0.2">
      <c r="O41" s="445">
        <v>7</v>
      </c>
      <c r="P41" s="453">
        <f t="shared" si="15"/>
        <v>104167.19445219096</v>
      </c>
      <c r="Q41" s="453">
        <f t="shared" si="16"/>
        <v>0</v>
      </c>
      <c r="R41" s="453">
        <f>(P41+Q41)*(1+'Analyse achat mdf'!$C$32)</f>
        <v>111458.89806384433</v>
      </c>
      <c r="S41" s="453">
        <f t="shared" si="17"/>
        <v>84126.292448647349</v>
      </c>
      <c r="T41" s="453">
        <f t="shared" si="18"/>
        <v>1713.0416815024055</v>
      </c>
      <c r="U41" s="453">
        <f>(S41+T41)*(1+'Analyse achat mdf'!$C$32)</f>
        <v>91848.08751926024</v>
      </c>
      <c r="V41" s="453">
        <f t="shared" si="19"/>
        <v>46192.354099492753</v>
      </c>
      <c r="W41" s="453">
        <f t="shared" si="20"/>
        <v>5358.5996027030305</v>
      </c>
      <c r="X41" s="453">
        <f>(V41+W41)*(1+'Analyse achat mdf'!$C$32)</f>
        <v>55159.520461349486</v>
      </c>
    </row>
    <row r="42" spans="2:24" hidden="1" x14ac:dyDescent="0.2">
      <c r="O42" s="445">
        <v>8</v>
      </c>
      <c r="P42" s="453">
        <f t="shared" si="15"/>
        <v>111458.89806384433</v>
      </c>
      <c r="Q42" s="453">
        <f t="shared" si="16"/>
        <v>0</v>
      </c>
      <c r="R42" s="453">
        <f>(P42+Q42)*(1+'Analyse achat mdf'!$C$32)</f>
        <v>119261.02092831345</v>
      </c>
      <c r="S42" s="453">
        <f t="shared" si="17"/>
        <v>91848.08751926024</v>
      </c>
      <c r="T42" s="453">
        <f t="shared" si="18"/>
        <v>1713.0416815024055</v>
      </c>
      <c r="U42" s="453">
        <f>(S42+T42)*(1+'Analyse achat mdf'!$C$32)</f>
        <v>100110.40824481603</v>
      </c>
      <c r="V42" s="453">
        <f t="shared" si="19"/>
        <v>55159.520461349486</v>
      </c>
      <c r="W42" s="453">
        <f t="shared" si="20"/>
        <v>5358.5996027030305</v>
      </c>
      <c r="X42" s="453">
        <f>(V42+W42)*(1+'Analyse achat mdf'!$C$32)</f>
        <v>64754.388468536199</v>
      </c>
    </row>
    <row r="43" spans="2:24" hidden="1" x14ac:dyDescent="0.2">
      <c r="O43" s="445">
        <v>9</v>
      </c>
      <c r="P43" s="453">
        <f t="shared" si="15"/>
        <v>119261.02092831345</v>
      </c>
      <c r="Q43" s="453">
        <f t="shared" si="16"/>
        <v>0</v>
      </c>
      <c r="R43" s="453">
        <f>(P43+Q43)*(1+'Analyse achat mdf'!$C$32)</f>
        <v>127609.2923932954</v>
      </c>
      <c r="S43" s="453">
        <f t="shared" si="17"/>
        <v>100110.40824481603</v>
      </c>
      <c r="T43" s="453">
        <f t="shared" si="18"/>
        <v>1713.0416815024055</v>
      </c>
      <c r="U43" s="453">
        <f>(S43+T43)*(1+'Analyse achat mdf'!$C$32)</f>
        <v>108951.09142116075</v>
      </c>
      <c r="V43" s="453">
        <f t="shared" si="19"/>
        <v>64754.388468536199</v>
      </c>
      <c r="W43" s="453">
        <f t="shared" si="20"/>
        <v>5358.5996027030305</v>
      </c>
      <c r="X43" s="453">
        <f>(V43+W43)*(1+'Analyse achat mdf'!$C$32)</f>
        <v>75020.897236225981</v>
      </c>
    </row>
    <row r="44" spans="2:24" hidden="1" x14ac:dyDescent="0.2">
      <c r="O44" s="445">
        <v>10</v>
      </c>
      <c r="P44" s="453">
        <f t="shared" si="15"/>
        <v>127609.2923932954</v>
      </c>
      <c r="Q44" s="453">
        <f t="shared" si="16"/>
        <v>0</v>
      </c>
      <c r="R44" s="453">
        <f>(P44+Q44)*(1+'Analyse achat mdf'!$C$32)</f>
        <v>136541.94286082609</v>
      </c>
      <c r="S44" s="453">
        <f t="shared" si="17"/>
        <v>108951.09142116075</v>
      </c>
      <c r="T44" s="453">
        <f t="shared" si="18"/>
        <v>1713.0416815024055</v>
      </c>
      <c r="U44" s="453">
        <f>(S44+T44)*(1+'Analyse achat mdf'!$C$32)</f>
        <v>118410.62241984958</v>
      </c>
      <c r="V44" s="453">
        <f t="shared" si="19"/>
        <v>75020.897236225981</v>
      </c>
      <c r="W44" s="453">
        <f t="shared" si="20"/>
        <v>5358.5996027030305</v>
      </c>
      <c r="X44" s="453">
        <f>(V44+W44)*(1+'Analyse achat mdf'!$C$32)</f>
        <v>86006.06161765405</v>
      </c>
    </row>
    <row r="45" spans="2:24" hidden="1" x14ac:dyDescent="0.2">
      <c r="O45" s="445">
        <v>11</v>
      </c>
      <c r="P45" s="453">
        <f t="shared" si="15"/>
        <v>136541.94286082609</v>
      </c>
      <c r="Q45" s="453">
        <f t="shared" si="16"/>
        <v>0</v>
      </c>
      <c r="R45" s="453">
        <f>(P45+Q45)*(1+'Analyse achat mdf'!$C$32)</f>
        <v>146099.87886108394</v>
      </c>
      <c r="S45" s="453">
        <f t="shared" si="17"/>
        <v>118410.62241984958</v>
      </c>
      <c r="T45" s="453">
        <f t="shared" si="18"/>
        <v>1713.0416815024055</v>
      </c>
      <c r="U45" s="453">
        <f>(S45+T45)*(1+'Analyse achat mdf'!$C$32)</f>
        <v>128532.32058844663</v>
      </c>
      <c r="V45" s="453">
        <f t="shared" si="19"/>
        <v>86006.06161765405</v>
      </c>
      <c r="W45" s="453">
        <f t="shared" si="20"/>
        <v>5358.5996027030305</v>
      </c>
      <c r="X45" s="453">
        <f>(V45+W45)*(1+'Analyse achat mdf'!$C$32)</f>
        <v>97760.187505782087</v>
      </c>
    </row>
    <row r="46" spans="2:24" ht="10.5" hidden="1" customHeight="1" x14ac:dyDescent="0.2">
      <c r="O46" s="445">
        <v>12</v>
      </c>
      <c r="P46" s="453">
        <f t="shared" si="15"/>
        <v>146099.87886108394</v>
      </c>
      <c r="Q46" s="453">
        <f t="shared" si="16"/>
        <v>0</v>
      </c>
      <c r="R46" s="453">
        <f>(P46+Q46)*(1+'Analyse achat mdf'!$C$32)</f>
        <v>156326.87038135983</v>
      </c>
      <c r="S46" s="453">
        <f t="shared" si="17"/>
        <v>128532.32058844663</v>
      </c>
      <c r="T46" s="453">
        <f t="shared" si="18"/>
        <v>1713.0416815024055</v>
      </c>
      <c r="U46" s="453">
        <f>(S46+T46)*(1+'Analyse achat mdf'!$C$32)</f>
        <v>139362.53762884549</v>
      </c>
      <c r="V46" s="453">
        <f t="shared" si="19"/>
        <v>97760.187505782087</v>
      </c>
      <c r="W46" s="453">
        <f t="shared" si="20"/>
        <v>5358.5996027030305</v>
      </c>
      <c r="X46" s="453">
        <f>(V46+W46)*(1+'Analyse achat mdf'!$C$32)</f>
        <v>110337.10220607909</v>
      </c>
    </row>
    <row r="47" spans="2:24" hidden="1" x14ac:dyDescent="0.2">
      <c r="O47" s="445">
        <v>13</v>
      </c>
      <c r="P47" s="453">
        <f t="shared" si="15"/>
        <v>156326.87038135983</v>
      </c>
      <c r="Q47" s="453">
        <f t="shared" si="16"/>
        <v>0</v>
      </c>
      <c r="R47" s="453">
        <f>(P47+Q47)*(1+'Analyse achat mdf'!$C$32)</f>
        <v>167269.75130805501</v>
      </c>
      <c r="S47" s="453">
        <f t="shared" si="17"/>
        <v>139362.53762884549</v>
      </c>
      <c r="T47" s="453">
        <f t="shared" si="18"/>
        <v>1713.0416815024055</v>
      </c>
      <c r="U47" s="453">
        <f>(S47+T47)*(1+'Analyse achat mdf'!$C$32)</f>
        <v>150950.86986207223</v>
      </c>
      <c r="V47" s="453">
        <f t="shared" si="19"/>
        <v>110337.10220607909</v>
      </c>
      <c r="W47" s="453">
        <f t="shared" si="20"/>
        <v>5358.5996027030305</v>
      </c>
      <c r="X47" s="453">
        <f>(V47+W47)*(1+'Analyse achat mdf'!$C$32)</f>
        <v>123794.40093539687</v>
      </c>
    </row>
    <row r="48" spans="2:24" hidden="1" x14ac:dyDescent="0.2">
      <c r="O48" s="445">
        <v>14</v>
      </c>
      <c r="P48" s="453">
        <f t="shared" si="15"/>
        <v>167269.75130805501</v>
      </c>
      <c r="Q48" s="453">
        <f t="shared" si="16"/>
        <v>0</v>
      </c>
      <c r="R48" s="453">
        <f>(P48+Q48)*(1+'Analyse achat mdf'!$C$32)</f>
        <v>178978.63389961887</v>
      </c>
      <c r="S48" s="453">
        <f t="shared" si="17"/>
        <v>150950.86986207223</v>
      </c>
      <c r="T48" s="453">
        <f t="shared" si="18"/>
        <v>1713.0416815024055</v>
      </c>
      <c r="U48" s="453">
        <f>(S48+T48)*(1+'Analyse achat mdf'!$C$32)</f>
        <v>163350.38535162486</v>
      </c>
      <c r="V48" s="453">
        <f t="shared" si="19"/>
        <v>123794.40093539687</v>
      </c>
      <c r="W48" s="453">
        <f t="shared" si="20"/>
        <v>5358.5996027030305</v>
      </c>
      <c r="X48" s="453">
        <f>(V48+W48)*(1+'Analyse achat mdf'!$C$32)</f>
        <v>138193.71057576692</v>
      </c>
    </row>
    <row r="49" spans="15:25" hidden="1" x14ac:dyDescent="0.2">
      <c r="O49" s="445">
        <v>15</v>
      </c>
      <c r="P49" s="453">
        <f t="shared" si="15"/>
        <v>178978.63389961887</v>
      </c>
      <c r="Q49" s="453">
        <f t="shared" si="16"/>
        <v>0</v>
      </c>
      <c r="R49" s="453">
        <f>(P49+Q49)*(1+'Analyse achat mdf'!$C$32)</f>
        <v>191507.13827259222</v>
      </c>
      <c r="S49" s="453">
        <f t="shared" si="17"/>
        <v>163350.38535162486</v>
      </c>
      <c r="T49" s="453">
        <f t="shared" si="18"/>
        <v>1713.0416815024055</v>
      </c>
      <c r="U49" s="453">
        <f>(S49+T49)*(1+'Analyse achat mdf'!$C$32)</f>
        <v>176617.86692544617</v>
      </c>
      <c r="V49" s="453">
        <f t="shared" si="19"/>
        <v>138193.71057576692</v>
      </c>
      <c r="W49" s="453">
        <f t="shared" si="20"/>
        <v>5358.5996027030305</v>
      </c>
      <c r="X49" s="453">
        <f>(V49+W49)*(1+'Analyse achat mdf'!$C$32)</f>
        <v>153600.97189096286</v>
      </c>
    </row>
    <row r="50" spans="15:25" hidden="1" x14ac:dyDescent="0.2">
      <c r="O50" s="445">
        <v>16</v>
      </c>
      <c r="P50" s="453">
        <f t="shared" si="15"/>
        <v>191507.13827259222</v>
      </c>
      <c r="Q50" s="453">
        <f t="shared" si="16"/>
        <v>0</v>
      </c>
      <c r="R50" s="453">
        <f>(P50+Q50)*(1+'Analyse achat mdf'!$C$32)</f>
        <v>204912.63795167368</v>
      </c>
      <c r="S50" s="453">
        <f t="shared" si="17"/>
        <v>176617.86692544617</v>
      </c>
      <c r="T50" s="453">
        <f t="shared" si="18"/>
        <v>1713.0416815024055</v>
      </c>
      <c r="U50" s="453">
        <f>(S50+T50)*(1+'Analyse achat mdf'!$C$32)</f>
        <v>190814.07220943496</v>
      </c>
      <c r="V50" s="453">
        <f t="shared" si="19"/>
        <v>153600.97189096286</v>
      </c>
      <c r="W50" s="453">
        <f t="shared" si="20"/>
        <v>5358.5996027030305</v>
      </c>
      <c r="X50" s="453">
        <f>(V50+W50)*(1+'Analyse achat mdf'!$C$32)</f>
        <v>170086.74149822252</v>
      </c>
    </row>
    <row r="51" spans="15:25" hidden="1" x14ac:dyDescent="0.2">
      <c r="O51" s="445">
        <v>17</v>
      </c>
      <c r="P51" s="453">
        <f t="shared" si="15"/>
        <v>204912.63795167368</v>
      </c>
      <c r="Q51" s="453">
        <f t="shared" si="16"/>
        <v>0</v>
      </c>
      <c r="R51" s="453">
        <f>(P51+Q51)*(1+'Analyse achat mdf'!$C$32)</f>
        <v>219256.52260829083</v>
      </c>
      <c r="S51" s="453">
        <f t="shared" si="17"/>
        <v>190814.07220943496</v>
      </c>
      <c r="T51" s="453">
        <f t="shared" si="18"/>
        <v>1713.0416815024055</v>
      </c>
      <c r="U51" s="453">
        <f>(S51+T51)*(1+'Analyse achat mdf'!$C$32)</f>
        <v>206004.01186330299</v>
      </c>
      <c r="V51" s="453">
        <f t="shared" si="19"/>
        <v>170086.74149822252</v>
      </c>
      <c r="W51" s="453">
        <f t="shared" si="20"/>
        <v>5358.5996027030305</v>
      </c>
      <c r="X51" s="453">
        <f>(V51+W51)*(1+'Analyse achat mdf'!$C$32)</f>
        <v>187726.51497799036</v>
      </c>
    </row>
    <row r="52" spans="15:25" hidden="1" x14ac:dyDescent="0.2">
      <c r="O52" s="445">
        <v>18</v>
      </c>
      <c r="P52" s="453">
        <f t="shared" si="15"/>
        <v>219256.52260829083</v>
      </c>
      <c r="Q52" s="453">
        <f t="shared" si="16"/>
        <v>0</v>
      </c>
      <c r="R52" s="453">
        <f>(P52+Q52)*(1+'Analyse achat mdf'!$C$32)</f>
        <v>234604.47919087121</v>
      </c>
      <c r="S52" s="453">
        <f t="shared" si="17"/>
        <v>206004.01186330299</v>
      </c>
      <c r="T52" s="453">
        <f t="shared" si="18"/>
        <v>1713.0416815024055</v>
      </c>
      <c r="U52" s="453">
        <f>(S52+T52)*(1+'Analyse achat mdf'!$C$32)</f>
        <v>222257.24729294179</v>
      </c>
      <c r="V52" s="453">
        <f t="shared" si="19"/>
        <v>187726.51497799036</v>
      </c>
      <c r="W52" s="453">
        <f t="shared" si="20"/>
        <v>5358.5996027030305</v>
      </c>
      <c r="X52" s="453">
        <f>(V52+W52)*(1+'Analyse achat mdf'!$C$32)</f>
        <v>206601.07260134193</v>
      </c>
    </row>
    <row r="53" spans="15:25" hidden="1" x14ac:dyDescent="0.2">
      <c r="O53" s="445">
        <v>19</v>
      </c>
      <c r="P53" s="453">
        <f t="shared" si="15"/>
        <v>234604.47919087121</v>
      </c>
      <c r="Q53" s="453">
        <f t="shared" si="16"/>
        <v>0</v>
      </c>
      <c r="R53" s="453">
        <f>(P53+Q53)*(1+'Analyse achat mdf'!$C$32)</f>
        <v>251026.79273423221</v>
      </c>
      <c r="S53" s="453">
        <f t="shared" si="17"/>
        <v>222257.24729294179</v>
      </c>
      <c r="T53" s="453">
        <f t="shared" si="18"/>
        <v>1713.0416815024055</v>
      </c>
      <c r="U53" s="453">
        <f>(S53+T53)*(1+'Analyse achat mdf'!$C$32)</f>
        <v>239648.20920265527</v>
      </c>
      <c r="V53" s="453">
        <f t="shared" si="19"/>
        <v>206601.07260134193</v>
      </c>
      <c r="W53" s="453">
        <f t="shared" si="20"/>
        <v>5358.5996027030305</v>
      </c>
      <c r="X53" s="453">
        <f>(V53+W53)*(1+'Analyse achat mdf'!$C$32)</f>
        <v>226796.84925832812</v>
      </c>
    </row>
    <row r="54" spans="15:25" hidden="1" x14ac:dyDescent="0.2">
      <c r="O54" s="445">
        <v>20</v>
      </c>
      <c r="P54" s="453">
        <f t="shared" si="15"/>
        <v>251026.79273423221</v>
      </c>
      <c r="Q54" s="453">
        <f t="shared" si="16"/>
        <v>0</v>
      </c>
      <c r="R54" s="453">
        <f>(P54+Q54)*(1+'Analyse achat mdf'!$C$32)</f>
        <v>268598.6682256285</v>
      </c>
      <c r="S54" s="453">
        <f t="shared" si="17"/>
        <v>239648.20920265527</v>
      </c>
      <c r="T54" s="453">
        <f t="shared" si="18"/>
        <v>1713.0416815024055</v>
      </c>
      <c r="U54" s="453">
        <f>(S54+T54)*(1+'Analyse achat mdf'!$C$32)</f>
        <v>258256.53844604871</v>
      </c>
      <c r="V54" s="453">
        <f t="shared" si="19"/>
        <v>226796.84925832812</v>
      </c>
      <c r="W54" s="453">
        <f t="shared" si="20"/>
        <v>5358.5996027030305</v>
      </c>
      <c r="X54" s="453">
        <f>(V54+W54)*(1+'Analyse achat mdf'!$C$32)</f>
        <v>248406.33028130335</v>
      </c>
    </row>
    <row r="55" spans="15:25" hidden="1" x14ac:dyDescent="0.2">
      <c r="O55" s="445">
        <v>21</v>
      </c>
      <c r="P55" s="453">
        <f t="shared" si="15"/>
        <v>268598.6682256285</v>
      </c>
      <c r="Q55" s="453">
        <f t="shared" si="16"/>
        <v>0</v>
      </c>
      <c r="R55" s="453">
        <f>(P55+Q55)*(1+'Analyse achat mdf'!$C$32)</f>
        <v>287400.57500142249</v>
      </c>
      <c r="S55" s="453">
        <f t="shared" si="17"/>
        <v>258256.53844604871</v>
      </c>
      <c r="T55" s="453">
        <f t="shared" si="18"/>
        <v>1713.0416815024055</v>
      </c>
      <c r="U55" s="453">
        <f>(S55+T55)*(1+'Analyse achat mdf'!$C$32)</f>
        <v>278167.45073647972</v>
      </c>
      <c r="V55" s="453">
        <f t="shared" si="19"/>
        <v>248406.33028130335</v>
      </c>
      <c r="W55" s="453">
        <f t="shared" si="20"/>
        <v>5358.5996027030305</v>
      </c>
      <c r="X55" s="453">
        <f>(V55+W55)*(1+'Analyse achat mdf'!$C$32)</f>
        <v>271528.47497588687</v>
      </c>
    </row>
    <row r="56" spans="15:25" hidden="1" x14ac:dyDescent="0.2">
      <c r="O56" s="445">
        <v>22</v>
      </c>
      <c r="P56" s="453">
        <f t="shared" si="15"/>
        <v>287400.57500142249</v>
      </c>
      <c r="Q56" s="453">
        <f t="shared" si="16"/>
        <v>0</v>
      </c>
      <c r="R56" s="453">
        <f>(P56+Q56)*(1+'Analyse achat mdf'!$C$32)</f>
        <v>307518.6152515221</v>
      </c>
      <c r="S56" s="453">
        <f t="shared" si="17"/>
        <v>278167.45073647972</v>
      </c>
      <c r="T56" s="453">
        <f t="shared" si="18"/>
        <v>1713.0416815024055</v>
      </c>
      <c r="U56" s="453">
        <f>(S56+T56)*(1+'Analyse achat mdf'!$C$32)</f>
        <v>299472.12688724091</v>
      </c>
      <c r="V56" s="453">
        <f t="shared" si="19"/>
        <v>271528.47497588687</v>
      </c>
      <c r="W56" s="453">
        <f t="shared" si="20"/>
        <v>5358.5996027030305</v>
      </c>
      <c r="X56" s="453">
        <f>(V56+W56)*(1+'Analyse achat mdf'!$C$32)</f>
        <v>296269.16979909118</v>
      </c>
    </row>
    <row r="57" spans="15:25" hidden="1" x14ac:dyDescent="0.2">
      <c r="O57" s="445">
        <v>23</v>
      </c>
      <c r="P57" s="453">
        <f t="shared" si="15"/>
        <v>307518.6152515221</v>
      </c>
      <c r="Q57" s="453">
        <f t="shared" si="16"/>
        <v>0</v>
      </c>
      <c r="R57" s="453">
        <f>(P57+Q57)*(1+'Analyse achat mdf'!$C$32)</f>
        <v>329044.91831912869</v>
      </c>
      <c r="S57" s="453">
        <f t="shared" si="17"/>
        <v>299472.12688724091</v>
      </c>
      <c r="T57" s="453">
        <f t="shared" si="18"/>
        <v>1713.0416815024055</v>
      </c>
      <c r="U57" s="453">
        <f>(S57+T57)*(1+'Analyse achat mdf'!$C$32)</f>
        <v>322268.13036855537</v>
      </c>
      <c r="V57" s="453">
        <f t="shared" si="19"/>
        <v>296269.16979909118</v>
      </c>
      <c r="W57" s="453">
        <f t="shared" si="20"/>
        <v>5358.5996027030305</v>
      </c>
      <c r="X57" s="453">
        <f>(V57+W57)*(1+'Analyse achat mdf'!$C$32)</f>
        <v>322741.71325991978</v>
      </c>
    </row>
    <row r="58" spans="15:25" hidden="1" x14ac:dyDescent="0.2">
      <c r="O58" s="445">
        <v>24</v>
      </c>
      <c r="P58" s="453">
        <f t="shared" si="15"/>
        <v>329044.91831912869</v>
      </c>
      <c r="Q58" s="453">
        <f t="shared" si="16"/>
        <v>0</v>
      </c>
      <c r="R58" s="453">
        <f>(P58+Q58)*(1+'Analyse achat mdf'!$C$32)</f>
        <v>352078.06260146771</v>
      </c>
      <c r="S58" s="453">
        <f t="shared" si="17"/>
        <v>322268.13036855537</v>
      </c>
      <c r="T58" s="453">
        <f t="shared" si="18"/>
        <v>1713.0416815024055</v>
      </c>
      <c r="U58" s="453">
        <f>(S58+T58)*(1+'Analyse achat mdf'!$C$32)</f>
        <v>346659.85409356188</v>
      </c>
      <c r="V58" s="453">
        <f t="shared" si="19"/>
        <v>322741.71325991978</v>
      </c>
      <c r="W58" s="453">
        <f t="shared" si="20"/>
        <v>5358.5996027030305</v>
      </c>
      <c r="X58" s="453">
        <f>(V58+W58)*(1+'Analyse achat mdf'!$C$32)</f>
        <v>351067.33476300642</v>
      </c>
    </row>
    <row r="59" spans="15:25" hidden="1" x14ac:dyDescent="0.2">
      <c r="O59" s="445">
        <v>25</v>
      </c>
      <c r="P59" s="453">
        <f t="shared" si="15"/>
        <v>352078.06260146771</v>
      </c>
      <c r="Q59" s="453">
        <f t="shared" si="16"/>
        <v>0</v>
      </c>
      <c r="R59" s="453">
        <f>(P59+Q59)*(1+'Analyse achat mdf'!$C$32)</f>
        <v>376723.52698357048</v>
      </c>
      <c r="S59" s="453">
        <f t="shared" si="17"/>
        <v>346659.85409356188</v>
      </c>
      <c r="T59" s="453">
        <f t="shared" si="18"/>
        <v>1713.0416815024055</v>
      </c>
      <c r="U59" s="453">
        <f>(S59+T59)*(1+'Analyse achat mdf'!$C$32)</f>
        <v>372758.99847931881</v>
      </c>
      <c r="V59" s="453">
        <f t="shared" si="19"/>
        <v>351067.33476300642</v>
      </c>
      <c r="W59" s="453">
        <f t="shared" si="20"/>
        <v>5358.5996027030305</v>
      </c>
      <c r="X59" s="453">
        <f>(V59+W59)*(1+'Analyse achat mdf'!$C$32)</f>
        <v>381375.74977130909</v>
      </c>
    </row>
    <row r="62" spans="15:25" hidden="1" x14ac:dyDescent="0.2">
      <c r="O62" s="878" t="s">
        <v>411</v>
      </c>
      <c r="P62" s="878"/>
      <c r="Q62" s="878"/>
      <c r="R62" s="878"/>
      <c r="S62" s="878"/>
      <c r="T62" s="878"/>
      <c r="U62" s="878"/>
      <c r="V62" s="878"/>
      <c r="W62" s="878"/>
      <c r="X62" s="878"/>
    </row>
    <row r="63" spans="15:25" hidden="1" x14ac:dyDescent="0.2">
      <c r="O63" s="476"/>
      <c r="Q63" s="878" t="s">
        <v>412</v>
      </c>
      <c r="R63" s="878"/>
      <c r="S63" s="878"/>
      <c r="T63" s="878" t="s">
        <v>413</v>
      </c>
      <c r="U63" s="878"/>
      <c r="V63" s="878"/>
      <c r="W63" s="878" t="s">
        <v>412</v>
      </c>
      <c r="X63" s="878"/>
      <c r="Y63" s="878"/>
    </row>
    <row r="64" spans="15:25" hidden="1" x14ac:dyDescent="0.2">
      <c r="P64" s="445" t="s">
        <v>414</v>
      </c>
      <c r="Q64" s="445" t="s">
        <v>415</v>
      </c>
      <c r="R64" s="445" t="s">
        <v>416</v>
      </c>
      <c r="S64" s="445" t="s">
        <v>362</v>
      </c>
      <c r="T64" s="445" t="s">
        <v>415</v>
      </c>
      <c r="U64" s="445" t="s">
        <v>416</v>
      </c>
      <c r="V64" s="445" t="s">
        <v>362</v>
      </c>
      <c r="W64" s="445" t="s">
        <v>415</v>
      </c>
      <c r="X64" s="445" t="s">
        <v>416</v>
      </c>
      <c r="Y64" s="445" t="s">
        <v>362</v>
      </c>
    </row>
    <row r="65" spans="2:25" hidden="1" x14ac:dyDescent="0.2">
      <c r="B65" s="445">
        <f>+B64*(1+'Analyse achat mdf'!C33)</f>
        <v>0</v>
      </c>
      <c r="O65" s="445">
        <v>1</v>
      </c>
      <c r="P65" s="453">
        <f>+'Analyse achat mdf'!C4*(1+'Analyse achat mdf'!C33)</f>
        <v>459000</v>
      </c>
      <c r="Q65" s="474">
        <f t="shared" ref="Q65:Q89" si="21">+Q4</f>
        <v>433924.28134514228</v>
      </c>
      <c r="R65" s="474">
        <f t="shared" ref="R65:R89" si="22">+P65-Q65</f>
        <v>25075.718654857716</v>
      </c>
      <c r="S65" s="474">
        <f t="shared" ref="S65:S89" si="23">+R65+R35</f>
        <v>99345.48865485772</v>
      </c>
      <c r="T65" s="474">
        <f t="shared" ref="T65:T89" si="24">+S4</f>
        <v>407528.68487870198</v>
      </c>
      <c r="U65" s="474">
        <f t="shared" ref="U65:U89" si="25">+$P65-T65</f>
        <v>51471.315121298016</v>
      </c>
      <c r="V65" s="474">
        <f t="shared" ref="V65:V89" si="26">+U65+U35</f>
        <v>103936.72322050561</v>
      </c>
      <c r="W65" s="474">
        <f t="shared" ref="W65:W89" si="27">+U4</f>
        <v>351355.69339687633</v>
      </c>
      <c r="X65" s="474">
        <f t="shared" ref="X65:X89" si="28">+$P65-W65</f>
        <v>107644.30660312367</v>
      </c>
      <c r="Y65" s="474">
        <f t="shared" ref="Y65:Y89" si="29">+X65+X35</f>
        <v>117069.50817801591</v>
      </c>
    </row>
    <row r="66" spans="2:25" hidden="1" x14ac:dyDescent="0.2">
      <c r="O66" s="445">
        <v>2</v>
      </c>
      <c r="P66" s="453">
        <f>+P65*(1+'Analyse achat mdf'!$C$33)</f>
        <v>468180</v>
      </c>
      <c r="Q66" s="474">
        <f t="shared" si="21"/>
        <v>422821.5339440903</v>
      </c>
      <c r="R66" s="474">
        <f t="shared" si="22"/>
        <v>45358.466055909696</v>
      </c>
      <c r="S66" s="474">
        <f t="shared" si="23"/>
        <v>124827.1199559097</v>
      </c>
      <c r="T66" s="474">
        <f t="shared" si="24"/>
        <v>397101.31715255207</v>
      </c>
      <c r="U66" s="474">
        <f t="shared" si="25"/>
        <v>71078.682847447926</v>
      </c>
      <c r="V66" s="474">
        <f t="shared" si="26"/>
        <v>129049.62411280762</v>
      </c>
      <c r="W66" s="474">
        <f t="shared" si="27"/>
        <v>342365.61452962772</v>
      </c>
      <c r="X66" s="474">
        <f t="shared" si="28"/>
        <v>125814.38547037228</v>
      </c>
      <c r="Y66" s="474">
        <f t="shared" si="29"/>
        <v>141633.05273039921</v>
      </c>
    </row>
    <row r="67" spans="2:25" hidden="1" x14ac:dyDescent="0.2">
      <c r="O67" s="445">
        <v>3</v>
      </c>
      <c r="P67" s="453">
        <f>+P66*(1+'Analyse achat mdf'!$C$33)</f>
        <v>477543.60000000003</v>
      </c>
      <c r="Q67" s="474">
        <f t="shared" si="21"/>
        <v>411274.67664699623</v>
      </c>
      <c r="R67" s="474">
        <f t="shared" si="22"/>
        <v>66268.923353003804</v>
      </c>
      <c r="S67" s="474">
        <f t="shared" si="23"/>
        <v>151300.38302600381</v>
      </c>
      <c r="T67" s="474">
        <f t="shared" si="24"/>
        <v>386256.85471735615</v>
      </c>
      <c r="U67" s="474">
        <f t="shared" si="25"/>
        <v>91286.745282643882</v>
      </c>
      <c r="V67" s="474">
        <f t="shared" si="26"/>
        <v>155148.60703578632</v>
      </c>
      <c r="W67" s="474">
        <f t="shared" si="27"/>
        <v>333015.93250768917</v>
      </c>
      <c r="X67" s="474">
        <f t="shared" si="28"/>
        <v>144527.66749231087</v>
      </c>
      <c r="Y67" s="474">
        <f t="shared" si="29"/>
        <v>167187.34303543193</v>
      </c>
    </row>
    <row r="68" spans="2:25" hidden="1" x14ac:dyDescent="0.2">
      <c r="O68" s="445">
        <v>4</v>
      </c>
      <c r="P68" s="453">
        <f>+P67*(1+'Analyse achat mdf'!$C$33)</f>
        <v>487094.47200000007</v>
      </c>
      <c r="Q68" s="474">
        <f t="shared" si="21"/>
        <v>399265.94505801838</v>
      </c>
      <c r="R68" s="474">
        <f t="shared" si="22"/>
        <v>87828.52694198169</v>
      </c>
      <c r="S68" s="474">
        <f t="shared" si="23"/>
        <v>178812.18879209171</v>
      </c>
      <c r="T68" s="474">
        <f t="shared" si="24"/>
        <v>374978.61378475238</v>
      </c>
      <c r="U68" s="474">
        <f t="shared" si="25"/>
        <v>112115.85821524769</v>
      </c>
      <c r="V68" s="474">
        <f t="shared" si="26"/>
        <v>182281.00489031768</v>
      </c>
      <c r="W68" s="474">
        <f t="shared" si="27"/>
        <v>323292.26320487307</v>
      </c>
      <c r="X68" s="474">
        <f t="shared" si="28"/>
        <v>163802.20879512699</v>
      </c>
      <c r="Y68" s="474">
        <f t="shared" si="29"/>
        <v>193781.76320115878</v>
      </c>
    </row>
    <row r="69" spans="2:25" hidden="1" x14ac:dyDescent="0.2">
      <c r="O69" s="445">
        <v>5</v>
      </c>
      <c r="P69" s="453">
        <f>+P68*(1+'Analyse achat mdf'!$C$33)</f>
        <v>496836.36144000007</v>
      </c>
      <c r="Q69" s="474">
        <f t="shared" si="21"/>
        <v>386776.86420548143</v>
      </c>
      <c r="R69" s="474">
        <f t="shared" si="22"/>
        <v>110059.49723451864</v>
      </c>
      <c r="S69" s="474">
        <f t="shared" si="23"/>
        <v>207412.01541413635</v>
      </c>
      <c r="T69" s="474">
        <f t="shared" si="24"/>
        <v>363249.24321484443</v>
      </c>
      <c r="U69" s="474">
        <f t="shared" si="25"/>
        <v>133587.11822515563</v>
      </c>
      <c r="V69" s="474">
        <f t="shared" si="26"/>
        <v>210496.77976668812</v>
      </c>
      <c r="W69" s="474">
        <f t="shared" si="27"/>
        <v>313179.64712994435</v>
      </c>
      <c r="X69" s="474">
        <f t="shared" si="28"/>
        <v>183656.71431005572</v>
      </c>
      <c r="Y69" s="474">
        <f t="shared" si="29"/>
        <v>221468.53909940197</v>
      </c>
    </row>
    <row r="70" spans="2:25" hidden="1" x14ac:dyDescent="0.2">
      <c r="O70" s="445">
        <v>6</v>
      </c>
      <c r="P70" s="453">
        <f>+P69*(1+'Analyse achat mdf'!$C$33)</f>
        <v>506773.08866880008</v>
      </c>
      <c r="Q70" s="474">
        <f t="shared" si="21"/>
        <v>373788.22011884296</v>
      </c>
      <c r="R70" s="474">
        <f t="shared" si="22"/>
        <v>132984.86854995711</v>
      </c>
      <c r="S70" s="474">
        <f t="shared" si="23"/>
        <v>237152.06300214806</v>
      </c>
      <c r="T70" s="474">
        <f t="shared" si="24"/>
        <v>351050.69782214018</v>
      </c>
      <c r="U70" s="474">
        <f t="shared" si="25"/>
        <v>155722.3908466599</v>
      </c>
      <c r="V70" s="474">
        <f t="shared" si="26"/>
        <v>239848.68329530724</v>
      </c>
      <c r="W70" s="474">
        <f t="shared" si="27"/>
        <v>302662.52641201846</v>
      </c>
      <c r="X70" s="474">
        <f t="shared" si="28"/>
        <v>204110.56225678162</v>
      </c>
      <c r="Y70" s="474">
        <f t="shared" si="29"/>
        <v>250302.91635627436</v>
      </c>
    </row>
    <row r="71" spans="2:25" hidden="1" x14ac:dyDescent="0.2">
      <c r="O71" s="445">
        <v>7</v>
      </c>
      <c r="P71" s="453">
        <f>+P70*(1+'Analyse achat mdf'!$C$33)</f>
        <v>516908.55044217611</v>
      </c>
      <c r="Q71" s="474">
        <f t="shared" si="21"/>
        <v>360280.03026873898</v>
      </c>
      <c r="R71" s="474">
        <f t="shared" si="22"/>
        <v>156628.52017343714</v>
      </c>
      <c r="S71" s="474">
        <f t="shared" si="23"/>
        <v>268087.4182372815</v>
      </c>
      <c r="T71" s="474">
        <f t="shared" si="24"/>
        <v>338364.21061372774</v>
      </c>
      <c r="U71" s="474">
        <f t="shared" si="25"/>
        <v>178544.33982844837</v>
      </c>
      <c r="V71" s="474">
        <f t="shared" si="26"/>
        <v>270392.42734770861</v>
      </c>
      <c r="W71" s="474">
        <f t="shared" si="27"/>
        <v>291724.72086537554</v>
      </c>
      <c r="X71" s="474">
        <f t="shared" si="28"/>
        <v>225183.82957680058</v>
      </c>
      <c r="Y71" s="474">
        <f t="shared" si="29"/>
        <v>280343.35003815009</v>
      </c>
    </row>
    <row r="72" spans="2:25" hidden="1" x14ac:dyDescent="0.2">
      <c r="O72" s="445">
        <v>8</v>
      </c>
      <c r="P72" s="453">
        <f>+P71*(1+'Analyse achat mdf'!$C$33)</f>
        <v>527246.72145101964</v>
      </c>
      <c r="Q72" s="474">
        <f t="shared" si="21"/>
        <v>346231.51282463083</v>
      </c>
      <c r="R72" s="474">
        <f t="shared" si="22"/>
        <v>181015.2086263888</v>
      </c>
      <c r="S72" s="474">
        <f t="shared" si="23"/>
        <v>300276.22955470224</v>
      </c>
      <c r="T72" s="474">
        <f t="shared" si="24"/>
        <v>325170.26391697885</v>
      </c>
      <c r="U72" s="474">
        <f t="shared" si="25"/>
        <v>202076.45753404079</v>
      </c>
      <c r="V72" s="474">
        <f t="shared" si="26"/>
        <v>302186.86577885679</v>
      </c>
      <c r="W72" s="474">
        <f t="shared" si="27"/>
        <v>280349.40309686691</v>
      </c>
      <c r="X72" s="474">
        <f t="shared" si="28"/>
        <v>246897.31835415273</v>
      </c>
      <c r="Y72" s="474">
        <f t="shared" si="29"/>
        <v>311651.70682268892</v>
      </c>
    </row>
    <row r="73" spans="2:25" hidden="1" x14ac:dyDescent="0.2">
      <c r="O73" s="445">
        <v>9</v>
      </c>
      <c r="P73" s="453">
        <f>+P72*(1+'Analyse achat mdf'!$C$33)</f>
        <v>537791.65588004002</v>
      </c>
      <c r="Q73" s="474">
        <f t="shared" si="21"/>
        <v>331621.05468275835</v>
      </c>
      <c r="R73" s="474">
        <f t="shared" si="22"/>
        <v>206170.60119728168</v>
      </c>
      <c r="S73" s="474">
        <f t="shared" si="23"/>
        <v>333779.89359057706</v>
      </c>
      <c r="T73" s="474">
        <f t="shared" si="24"/>
        <v>311448.55935235997</v>
      </c>
      <c r="U73" s="474">
        <f t="shared" si="25"/>
        <v>226343.09652768006</v>
      </c>
      <c r="V73" s="474">
        <f t="shared" si="26"/>
        <v>335294.18794884079</v>
      </c>
      <c r="W73" s="474">
        <f t="shared" si="27"/>
        <v>268519.0726176179</v>
      </c>
      <c r="X73" s="474">
        <f t="shared" si="28"/>
        <v>269272.58326242212</v>
      </c>
      <c r="Y73" s="474">
        <f t="shared" si="29"/>
        <v>344293.48049864813</v>
      </c>
    </row>
    <row r="74" spans="2:25" hidden="1" x14ac:dyDescent="0.2">
      <c r="O74" s="445">
        <v>10</v>
      </c>
      <c r="P74" s="453">
        <f>+P73*(1+'Analyse achat mdf'!$C$33)</f>
        <v>548547.48899764079</v>
      </c>
      <c r="Q74" s="474">
        <f t="shared" si="21"/>
        <v>316426.17821521097</v>
      </c>
      <c r="R74" s="474">
        <f t="shared" si="22"/>
        <v>232121.31078242982</v>
      </c>
      <c r="S74" s="474">
        <f t="shared" si="23"/>
        <v>368663.25364325591</v>
      </c>
      <c r="T74" s="474">
        <f t="shared" si="24"/>
        <v>297177.98660515633</v>
      </c>
      <c r="U74" s="474">
        <f t="shared" si="25"/>
        <v>251369.50239248446</v>
      </c>
      <c r="V74" s="474">
        <f t="shared" si="26"/>
        <v>369780.12481233402</v>
      </c>
      <c r="W74" s="474">
        <f t="shared" si="27"/>
        <v>256215.52891919896</v>
      </c>
      <c r="X74" s="474">
        <f t="shared" si="28"/>
        <v>292331.96007844183</v>
      </c>
      <c r="Y74" s="474">
        <f t="shared" si="29"/>
        <v>378338.02169609588</v>
      </c>
    </row>
    <row r="75" spans="2:25" hidden="1" x14ac:dyDescent="0.2">
      <c r="O75" s="445">
        <v>11</v>
      </c>
      <c r="P75" s="453">
        <f>+P74*(1+'Analyse achat mdf'!$C$33)</f>
        <v>559518.43877759366</v>
      </c>
      <c r="Q75" s="474">
        <f t="shared" si="21"/>
        <v>300623.5066889617</v>
      </c>
      <c r="R75" s="474">
        <f t="shared" si="22"/>
        <v>258894.93208863196</v>
      </c>
      <c r="S75" s="474">
        <f t="shared" si="23"/>
        <v>404994.8109497159</v>
      </c>
      <c r="T75" s="474">
        <f t="shared" si="24"/>
        <v>282336.59094806458</v>
      </c>
      <c r="U75" s="474">
        <f t="shared" si="25"/>
        <v>277181.84782952908</v>
      </c>
      <c r="V75" s="474">
        <f t="shared" si="26"/>
        <v>405714.16841797571</v>
      </c>
      <c r="W75" s="474">
        <f t="shared" si="27"/>
        <v>243419.84347284323</v>
      </c>
      <c r="X75" s="474">
        <f t="shared" si="28"/>
        <v>316098.59530475043</v>
      </c>
      <c r="Y75" s="474">
        <f t="shared" si="29"/>
        <v>413858.78281053249</v>
      </c>
    </row>
    <row r="76" spans="2:25" hidden="1" x14ac:dyDescent="0.2">
      <c r="O76" s="445">
        <v>12</v>
      </c>
      <c r="P76" s="453">
        <f>+P75*(1+'Analyse achat mdf'!$C$33)</f>
        <v>570708.80755314557</v>
      </c>
      <c r="Q76" s="474">
        <f t="shared" si="21"/>
        <v>284188.72830166249</v>
      </c>
      <c r="R76" s="474">
        <f t="shared" si="22"/>
        <v>286520.07925148308</v>
      </c>
      <c r="S76" s="474">
        <f t="shared" si="23"/>
        <v>442846.94963284291</v>
      </c>
      <c r="T76" s="474">
        <f t="shared" si="24"/>
        <v>266901.53946468915</v>
      </c>
      <c r="U76" s="474">
        <f t="shared" si="25"/>
        <v>303807.26808845642</v>
      </c>
      <c r="V76" s="474">
        <f t="shared" si="26"/>
        <v>443169.8057173019</v>
      </c>
      <c r="W76" s="474">
        <f t="shared" si="27"/>
        <v>230112.33060863332</v>
      </c>
      <c r="X76" s="474">
        <f t="shared" si="28"/>
        <v>340596.47694451222</v>
      </c>
      <c r="Y76" s="474">
        <f t="shared" si="29"/>
        <v>450933.57915059128</v>
      </c>
    </row>
    <row r="77" spans="2:25" hidden="1" x14ac:dyDescent="0.2">
      <c r="O77" s="445">
        <v>13</v>
      </c>
      <c r="P77" s="453">
        <f>+P76*(1+'Analyse achat mdf'!$C$33)</f>
        <v>582122.98370420851</v>
      </c>
      <c r="Q77" s="474">
        <f t="shared" si="21"/>
        <v>267096.55877887126</v>
      </c>
      <c r="R77" s="474">
        <f t="shared" si="22"/>
        <v>315026.42492533725</v>
      </c>
      <c r="S77" s="474">
        <f t="shared" si="23"/>
        <v>482296.17623339227</v>
      </c>
      <c r="T77" s="474">
        <f t="shared" si="24"/>
        <v>250849.08592197867</v>
      </c>
      <c r="U77" s="474">
        <f t="shared" si="25"/>
        <v>331273.89778222982</v>
      </c>
      <c r="V77" s="474">
        <f t="shared" si="26"/>
        <v>482224.76764430205</v>
      </c>
      <c r="W77" s="474">
        <f t="shared" si="27"/>
        <v>216272.517229855</v>
      </c>
      <c r="X77" s="474">
        <f t="shared" si="28"/>
        <v>365850.46647435351</v>
      </c>
      <c r="Y77" s="474">
        <f t="shared" si="29"/>
        <v>489644.86740975035</v>
      </c>
    </row>
    <row r="78" spans="2:25" hidden="1" x14ac:dyDescent="0.2">
      <c r="O78" s="445">
        <v>14</v>
      </c>
      <c r="P78" s="453">
        <f>+P77*(1+'Analyse achat mdf'!$C$33)</f>
        <v>593765.44337829272</v>
      </c>
      <c r="Q78" s="474">
        <f t="shared" si="21"/>
        <v>249320.70247516839</v>
      </c>
      <c r="R78" s="474">
        <f t="shared" si="22"/>
        <v>344444.74090312433</v>
      </c>
      <c r="S78" s="474">
        <f t="shared" si="23"/>
        <v>523423.3748027432</v>
      </c>
      <c r="T78" s="474">
        <f t="shared" si="24"/>
        <v>234154.53423755977</v>
      </c>
      <c r="U78" s="474">
        <f t="shared" si="25"/>
        <v>359610.90914073295</v>
      </c>
      <c r="V78" s="474">
        <f t="shared" si="26"/>
        <v>522961.29449235782</v>
      </c>
      <c r="W78" s="474">
        <f t="shared" si="27"/>
        <v>201879.11131592555</v>
      </c>
      <c r="X78" s="474">
        <f t="shared" si="28"/>
        <v>391886.33206236718</v>
      </c>
      <c r="Y78" s="474">
        <f t="shared" si="29"/>
        <v>530080.04263813409</v>
      </c>
    </row>
    <row r="79" spans="2:25" hidden="1" x14ac:dyDescent="0.2">
      <c r="O79" s="445">
        <v>15</v>
      </c>
      <c r="P79" s="453">
        <f>+P78*(1+'Analyse achat mdf'!$C$33)</f>
        <v>605640.75224585854</v>
      </c>
      <c r="Q79" s="474">
        <f t="shared" si="21"/>
        <v>230833.81191931744</v>
      </c>
      <c r="R79" s="474">
        <f t="shared" si="22"/>
        <v>374806.94032654108</v>
      </c>
      <c r="S79" s="474">
        <f t="shared" si="23"/>
        <v>566314.0785991333</v>
      </c>
      <c r="T79" s="474">
        <f t="shared" si="24"/>
        <v>216792.2004857641</v>
      </c>
      <c r="U79" s="474">
        <f t="shared" si="25"/>
        <v>388848.55176009447</v>
      </c>
      <c r="V79" s="474">
        <f t="shared" si="26"/>
        <v>565466.41868554067</v>
      </c>
      <c r="W79" s="474">
        <f t="shared" si="27"/>
        <v>186909.9691654389</v>
      </c>
      <c r="X79" s="474">
        <f t="shared" si="28"/>
        <v>418730.78308041964</v>
      </c>
      <c r="Y79" s="474">
        <f t="shared" si="29"/>
        <v>572331.75497138244</v>
      </c>
    </row>
    <row r="80" spans="2:25" hidden="1" x14ac:dyDescent="0.2">
      <c r="O80" s="445">
        <v>16</v>
      </c>
      <c r="P80" s="453">
        <f>+P79*(1+'Analyse achat mdf'!$C$33)</f>
        <v>617753.56729077571</v>
      </c>
      <c r="Q80" s="474">
        <f t="shared" si="21"/>
        <v>211607.44574123243</v>
      </c>
      <c r="R80" s="474">
        <f t="shared" si="22"/>
        <v>406146.12154954328</v>
      </c>
      <c r="S80" s="474">
        <f t="shared" si="23"/>
        <v>611058.75950121693</v>
      </c>
      <c r="T80" s="474">
        <f t="shared" si="24"/>
        <v>198735.37338389663</v>
      </c>
      <c r="U80" s="474">
        <f t="shared" si="25"/>
        <v>419018.19390687905</v>
      </c>
      <c r="V80" s="474">
        <f t="shared" si="26"/>
        <v>609832.26611631399</v>
      </c>
      <c r="W80" s="474">
        <f t="shared" si="27"/>
        <v>171342.06132893279</v>
      </c>
      <c r="X80" s="474">
        <f t="shared" si="28"/>
        <v>446411.50596184295</v>
      </c>
      <c r="Y80" s="474">
        <f t="shared" si="29"/>
        <v>616498.24746006541</v>
      </c>
    </row>
    <row r="81" spans="15:25" hidden="1" x14ac:dyDescent="0.2">
      <c r="O81" s="445">
        <v>17</v>
      </c>
      <c r="P81" s="453">
        <f>+P80*(1+'Analyse achat mdf'!$C$33)</f>
        <v>630108.63863659126</v>
      </c>
      <c r="Q81" s="474">
        <f t="shared" si="21"/>
        <v>191612.02491602401</v>
      </c>
      <c r="R81" s="474">
        <f t="shared" si="22"/>
        <v>438496.61372056726</v>
      </c>
      <c r="S81" s="474">
        <f t="shared" si="23"/>
        <v>657753.13632885809</v>
      </c>
      <c r="T81" s="474">
        <f t="shared" si="24"/>
        <v>179956.27319795443</v>
      </c>
      <c r="U81" s="474">
        <f t="shared" si="25"/>
        <v>450152.36543863686</v>
      </c>
      <c r="V81" s="474">
        <f t="shared" si="26"/>
        <v>656156.37730193988</v>
      </c>
      <c r="W81" s="474">
        <f t="shared" si="27"/>
        <v>155151.43717896644</v>
      </c>
      <c r="X81" s="474">
        <f t="shared" si="28"/>
        <v>474957.20145762479</v>
      </c>
      <c r="Y81" s="474">
        <f t="shared" si="29"/>
        <v>662683.71643561521</v>
      </c>
    </row>
    <row r="82" spans="15:25" hidden="1" x14ac:dyDescent="0.2">
      <c r="O82" s="445">
        <v>18</v>
      </c>
      <c r="P82" s="453">
        <f>+P81*(1+'Analyse achat mdf'!$C$33)</f>
        <v>642710.81140932313</v>
      </c>
      <c r="Q82" s="474">
        <f t="shared" si="21"/>
        <v>170816.78725780727</v>
      </c>
      <c r="R82" s="474">
        <f t="shared" si="22"/>
        <v>471894.02415151586</v>
      </c>
      <c r="S82" s="474">
        <f t="shared" si="23"/>
        <v>706498.50334238703</v>
      </c>
      <c r="T82" s="474">
        <f t="shared" si="24"/>
        <v>160426.00900457456</v>
      </c>
      <c r="U82" s="474">
        <f t="shared" si="25"/>
        <v>482284.80240474857</v>
      </c>
      <c r="V82" s="474">
        <f t="shared" si="26"/>
        <v>704542.04969769041</v>
      </c>
      <c r="W82" s="474">
        <f t="shared" si="27"/>
        <v>138313.18806300143</v>
      </c>
      <c r="X82" s="474">
        <f t="shared" si="28"/>
        <v>504397.62334632169</v>
      </c>
      <c r="Y82" s="474">
        <f t="shared" si="29"/>
        <v>710998.69594766363</v>
      </c>
    </row>
    <row r="83" spans="15:25" hidden="1" x14ac:dyDescent="0.2">
      <c r="O83" s="445">
        <v>19</v>
      </c>
      <c r="P83" s="453">
        <f>+P82*(1+'Analyse achat mdf'!$C$33)</f>
        <v>655565.02763750963</v>
      </c>
      <c r="Q83" s="474">
        <f t="shared" si="21"/>
        <v>149189.74009326185</v>
      </c>
      <c r="R83" s="474">
        <f t="shared" si="22"/>
        <v>506375.28754424781</v>
      </c>
      <c r="S83" s="474">
        <f t="shared" si="23"/>
        <v>757402.08027847996</v>
      </c>
      <c r="T83" s="474">
        <f t="shared" si="24"/>
        <v>140114.53424345949</v>
      </c>
      <c r="U83" s="474">
        <f t="shared" si="25"/>
        <v>515450.49339405017</v>
      </c>
      <c r="V83" s="474">
        <f t="shared" si="26"/>
        <v>755098.70259670541</v>
      </c>
      <c r="W83" s="474">
        <f t="shared" si="27"/>
        <v>120801.40898239784</v>
      </c>
      <c r="X83" s="474">
        <f t="shared" si="28"/>
        <v>534763.61865511176</v>
      </c>
      <c r="Y83" s="474">
        <f t="shared" si="29"/>
        <v>761560.46791343985</v>
      </c>
    </row>
    <row r="84" spans="15:25" hidden="1" x14ac:dyDescent="0.2">
      <c r="O84" s="445">
        <v>20</v>
      </c>
      <c r="P84" s="453">
        <f>+P83*(1+'Analyse achat mdf'!$C$33)</f>
        <v>668676.32819025987</v>
      </c>
      <c r="Q84" s="474">
        <f t="shared" si="21"/>
        <v>126697.61104213461</v>
      </c>
      <c r="R84" s="474">
        <f t="shared" si="22"/>
        <v>541978.71714812529</v>
      </c>
      <c r="S84" s="474">
        <f t="shared" si="23"/>
        <v>810577.38537375373</v>
      </c>
      <c r="T84" s="474">
        <f t="shared" si="24"/>
        <v>118990.60049189982</v>
      </c>
      <c r="U84" s="474">
        <f t="shared" si="25"/>
        <v>549685.7276983601</v>
      </c>
      <c r="V84" s="474">
        <f t="shared" si="26"/>
        <v>807942.26614440884</v>
      </c>
      <c r="W84" s="474">
        <f t="shared" si="27"/>
        <v>102589.15873857011</v>
      </c>
      <c r="X84" s="474">
        <f t="shared" si="28"/>
        <v>566087.16945168981</v>
      </c>
      <c r="Y84" s="474">
        <f t="shared" si="29"/>
        <v>814493.49973299319</v>
      </c>
    </row>
    <row r="85" spans="15:25" hidden="1" x14ac:dyDescent="0.2">
      <c r="O85" s="445">
        <v>21</v>
      </c>
      <c r="P85" s="453">
        <f>+P84*(1+'Analyse achat mdf'!$C$33)</f>
        <v>682049.85475406505</v>
      </c>
      <c r="Q85" s="474">
        <f t="shared" si="21"/>
        <v>103305.79682896228</v>
      </c>
      <c r="R85" s="474">
        <f t="shared" si="22"/>
        <v>578744.05792510277</v>
      </c>
      <c r="S85" s="474">
        <f t="shared" si="23"/>
        <v>866144.63292652532</v>
      </c>
      <c r="T85" s="474">
        <f t="shared" si="24"/>
        <v>97021.709390277756</v>
      </c>
      <c r="U85" s="474">
        <f t="shared" si="25"/>
        <v>585028.14536378731</v>
      </c>
      <c r="V85" s="474">
        <f t="shared" si="26"/>
        <v>863195.59610026702</v>
      </c>
      <c r="W85" s="474">
        <f t="shared" si="27"/>
        <v>83648.418484989263</v>
      </c>
      <c r="X85" s="474">
        <f t="shared" si="28"/>
        <v>598401.43626907584</v>
      </c>
      <c r="Y85" s="474">
        <f t="shared" si="29"/>
        <v>869929.91124496271</v>
      </c>
    </row>
    <row r="86" spans="15:25" hidden="1" x14ac:dyDescent="0.2">
      <c r="O86" s="445">
        <v>22</v>
      </c>
      <c r="P86" s="453">
        <f>+P85*(1+'Analyse achat mdf'!$C$33)</f>
        <v>695690.8518491463</v>
      </c>
      <c r="Q86" s="474">
        <f t="shared" si="21"/>
        <v>78978.310047263061</v>
      </c>
      <c r="R86" s="474">
        <f t="shared" si="22"/>
        <v>616712.54180188326</v>
      </c>
      <c r="S86" s="474">
        <f t="shared" si="23"/>
        <v>924231.15705340542</v>
      </c>
      <c r="T86" s="474">
        <f t="shared" si="24"/>
        <v>74174.062644590813</v>
      </c>
      <c r="U86" s="474">
        <f t="shared" si="25"/>
        <v>621516.78920455545</v>
      </c>
      <c r="V86" s="474">
        <f t="shared" si="26"/>
        <v>920988.91609179636</v>
      </c>
      <c r="W86" s="474">
        <f t="shared" si="27"/>
        <v>63950.048621265181</v>
      </c>
      <c r="X86" s="474">
        <f t="shared" si="28"/>
        <v>631740.80322788109</v>
      </c>
      <c r="Y86" s="474">
        <f t="shared" si="29"/>
        <v>928009.97302697226</v>
      </c>
    </row>
    <row r="87" spans="15:25" hidden="1" x14ac:dyDescent="0.2">
      <c r="O87" s="445">
        <v>23</v>
      </c>
      <c r="P87" s="453">
        <f>+P86*(1+'Analyse achat mdf'!$C$33)</f>
        <v>709604.66888612928</v>
      </c>
      <c r="Q87" s="474">
        <f t="shared" si="21"/>
        <v>53677.723794295875</v>
      </c>
      <c r="R87" s="474">
        <f t="shared" si="22"/>
        <v>655926.94509183336</v>
      </c>
      <c r="S87" s="474">
        <f t="shared" si="23"/>
        <v>984971.86341096205</v>
      </c>
      <c r="T87" s="474">
        <f t="shared" si="24"/>
        <v>50412.510029076395</v>
      </c>
      <c r="U87" s="474">
        <f t="shared" si="25"/>
        <v>659192.15885705291</v>
      </c>
      <c r="V87" s="474">
        <f t="shared" si="26"/>
        <v>981460.28922560834</v>
      </c>
      <c r="W87" s="474">
        <f t="shared" si="27"/>
        <v>43463.743962992135</v>
      </c>
      <c r="X87" s="474">
        <f t="shared" si="28"/>
        <v>666140.92492313718</v>
      </c>
      <c r="Y87" s="474">
        <f t="shared" si="29"/>
        <v>988882.63818305696</v>
      </c>
    </row>
    <row r="88" spans="15:25" hidden="1" x14ac:dyDescent="0.2">
      <c r="O88" s="445">
        <v>24</v>
      </c>
      <c r="P88" s="453">
        <f>+P87*(1+'Analyse achat mdf'!$C$33)</f>
        <v>723796.76226385182</v>
      </c>
      <c r="Q88" s="474">
        <f t="shared" si="21"/>
        <v>27365.114091209995</v>
      </c>
      <c r="R88" s="474">
        <f t="shared" si="22"/>
        <v>696431.64817264187</v>
      </c>
      <c r="S88" s="474">
        <f t="shared" si="23"/>
        <v>1048509.7107741096</v>
      </c>
      <c r="T88" s="474">
        <f t="shared" si="24"/>
        <v>25700.495308941401</v>
      </c>
      <c r="U88" s="474">
        <f t="shared" si="25"/>
        <v>698096.26695491048</v>
      </c>
      <c r="V88" s="474">
        <f t="shared" si="26"/>
        <v>1044756.1210484724</v>
      </c>
      <c r="W88" s="474">
        <f t="shared" si="27"/>
        <v>22157.987118388162</v>
      </c>
      <c r="X88" s="474">
        <f t="shared" si="28"/>
        <v>701638.77514546365</v>
      </c>
      <c r="Y88" s="474">
        <f t="shared" si="29"/>
        <v>1052706.10990847</v>
      </c>
    </row>
    <row r="89" spans="15:25" hidden="1" x14ac:dyDescent="0.2">
      <c r="O89" s="445">
        <v>25</v>
      </c>
      <c r="P89" s="453">
        <f>+P88*(1+'Analyse achat mdf'!$C$33)</f>
        <v>738272.69750912883</v>
      </c>
      <c r="Q89" s="474">
        <f t="shared" si="21"/>
        <v>6.8030203692615032E-10</v>
      </c>
      <c r="R89" s="474">
        <f t="shared" si="22"/>
        <v>738272.69750912813</v>
      </c>
      <c r="S89" s="474">
        <f t="shared" si="23"/>
        <v>1114996.2244926987</v>
      </c>
      <c r="T89" s="474">
        <f t="shared" si="24"/>
        <v>1.0040821507573128E-9</v>
      </c>
      <c r="U89" s="474">
        <f t="shared" si="25"/>
        <v>738272.69750912779</v>
      </c>
      <c r="V89" s="474">
        <f t="shared" si="26"/>
        <v>1111031.6959884465</v>
      </c>
      <c r="W89" s="474">
        <f t="shared" si="27"/>
        <v>2.9103830456733704E-11</v>
      </c>
      <c r="X89" s="474">
        <f t="shared" si="28"/>
        <v>738272.69750912883</v>
      </c>
      <c r="Y89" s="474">
        <f t="shared" si="29"/>
        <v>1119648.4472804379</v>
      </c>
    </row>
  </sheetData>
  <sheetProtection selectLockedCells="1"/>
  <mergeCells count="24">
    <mergeCell ref="O62:X62"/>
    <mergeCell ref="Q63:S63"/>
    <mergeCell ref="T63:V63"/>
    <mergeCell ref="W63:Y63"/>
    <mergeCell ref="O1:U1"/>
    <mergeCell ref="P2:Q2"/>
    <mergeCell ref="R2:S2"/>
    <mergeCell ref="T2:U2"/>
    <mergeCell ref="O32:X32"/>
    <mergeCell ref="P33:R33"/>
    <mergeCell ref="S33:U33"/>
    <mergeCell ref="V33:X33"/>
    <mergeCell ref="B30:C30"/>
    <mergeCell ref="B1:C1"/>
    <mergeCell ref="B2:C2"/>
    <mergeCell ref="E2:H2"/>
    <mergeCell ref="J2:M2"/>
    <mergeCell ref="E7:H7"/>
    <mergeCell ref="B8:C8"/>
    <mergeCell ref="J10:M10"/>
    <mergeCell ref="B14:C14"/>
    <mergeCell ref="E15:H15"/>
    <mergeCell ref="B20:C20"/>
    <mergeCell ref="E20:H20"/>
  </mergeCells>
  <conditionalFormatting sqref="F18:H18">
    <cfRule type="cellIs" dxfId="37" priority="30" operator="lessThan">
      <formula>0</formula>
    </cfRule>
    <cfRule type="cellIs" dxfId="36" priority="31" operator="greaterThan">
      <formula>0</formula>
    </cfRule>
    <cfRule type="colorScale" priority="32">
      <colorScale>
        <cfvo type="formula" val="&quot;&lt;0&quot;"/>
        <cfvo type="formula" val="&quot;&gt;0&quot;"/>
        <color rgb="FFFF0000"/>
        <color rgb="FF00B050"/>
      </colorScale>
    </cfRule>
  </conditionalFormatting>
  <conditionalFormatting sqref="K7:M7">
    <cfRule type="top10" dxfId="35" priority="29" percent="1" rank="10"/>
  </conditionalFormatting>
  <conditionalFormatting sqref="F30:H30">
    <cfRule type="cellIs" dxfId="34" priority="33" operator="greaterThan">
      <formula>$C$18</formula>
    </cfRule>
    <cfRule type="cellIs" dxfId="33" priority="34" operator="lessThan">
      <formula>$C$18</formula>
    </cfRule>
  </conditionalFormatting>
  <conditionalFormatting sqref="F13:H13">
    <cfRule type="cellIs" dxfId="32" priority="35" operator="lessThan">
      <formula>$C$16</formula>
    </cfRule>
    <cfRule type="cellIs" dxfId="31" priority="36" operator="greaterThan">
      <formula>$C$16</formula>
    </cfRule>
  </conditionalFormatting>
  <conditionalFormatting sqref="K23:M23">
    <cfRule type="top10" dxfId="30" priority="27" percent="1" rank="10"/>
  </conditionalFormatting>
  <conditionalFormatting sqref="K20:M20">
    <cfRule type="top10" dxfId="29" priority="26" percent="1" rank="10"/>
  </conditionalFormatting>
  <conditionalFormatting sqref="S65 V65 Y65">
    <cfRule type="top10" dxfId="28" priority="25" rank="1"/>
  </conditionalFormatting>
  <conditionalFormatting sqref="Y89 V89 S89">
    <cfRule type="top10" dxfId="27" priority="24" rank="1"/>
  </conditionalFormatting>
  <conditionalFormatting sqref="Y88 V88 S88">
    <cfRule type="top10" dxfId="26" priority="23" rank="1"/>
  </conditionalFormatting>
  <conditionalFormatting sqref="Y87 V87 S87">
    <cfRule type="top10" dxfId="25" priority="22" rank="1"/>
  </conditionalFormatting>
  <conditionalFormatting sqref="Y86 V86 S86">
    <cfRule type="top10" dxfId="24" priority="21" rank="1"/>
  </conditionalFormatting>
  <conditionalFormatting sqref="Y85 V85 S85">
    <cfRule type="top10" dxfId="23" priority="20" rank="1"/>
  </conditionalFormatting>
  <conditionalFormatting sqref="Y84 V84 S84">
    <cfRule type="top10" dxfId="22" priority="19" rank="1"/>
  </conditionalFormatting>
  <conditionalFormatting sqref="Y83 V83 S83">
    <cfRule type="top10" dxfId="21" priority="18" rank="1"/>
  </conditionalFormatting>
  <conditionalFormatting sqref="Y82 V82 S82">
    <cfRule type="top10" dxfId="20" priority="17" rank="1"/>
  </conditionalFormatting>
  <conditionalFormatting sqref="Y81 V81 S81">
    <cfRule type="top10" dxfId="19" priority="16" rank="1"/>
  </conditionalFormatting>
  <conditionalFormatting sqref="Y80 V80 S80">
    <cfRule type="top10" dxfId="18" priority="15" rank="1"/>
  </conditionalFormatting>
  <conditionalFormatting sqref="Y79 V79 S79">
    <cfRule type="top10" dxfId="17" priority="14" rank="1"/>
  </conditionalFormatting>
  <conditionalFormatting sqref="Y78 V78 S78">
    <cfRule type="top10" dxfId="16" priority="13" rank="1"/>
  </conditionalFormatting>
  <conditionalFormatting sqref="Y77 V77 S77">
    <cfRule type="top10" dxfId="15" priority="12" rank="1"/>
  </conditionalFormatting>
  <conditionalFormatting sqref="Y76 V76 S76">
    <cfRule type="top10" dxfId="14" priority="11" rank="1"/>
  </conditionalFormatting>
  <conditionalFormatting sqref="Y75 V75 S75">
    <cfRule type="top10" dxfId="13" priority="10" rank="1"/>
  </conditionalFormatting>
  <conditionalFormatting sqref="Y74 V74 S74">
    <cfRule type="top10" dxfId="12" priority="9" rank="1"/>
  </conditionalFormatting>
  <conditionalFormatting sqref="Y73 V73 S73">
    <cfRule type="top10" dxfId="11" priority="8" rank="1"/>
  </conditionalFormatting>
  <conditionalFormatting sqref="Y72 V72 S72">
    <cfRule type="top10" dxfId="10" priority="7" rank="1"/>
  </conditionalFormatting>
  <conditionalFormatting sqref="Y71 V71 S71">
    <cfRule type="top10" dxfId="9" priority="6" rank="1"/>
  </conditionalFormatting>
  <conditionalFormatting sqref="Y70 V70 S70">
    <cfRule type="top10" dxfId="8" priority="5" rank="1"/>
  </conditionalFormatting>
  <conditionalFormatting sqref="Y69 V69 S69">
    <cfRule type="top10" dxfId="7" priority="4" rank="1"/>
  </conditionalFormatting>
  <conditionalFormatting sqref="Y68 V68 S68">
    <cfRule type="top10" dxfId="6" priority="3" rank="1"/>
  </conditionalFormatting>
  <conditionalFormatting sqref="Y67 V67 S67">
    <cfRule type="top10" dxfId="5" priority="2" rank="1"/>
  </conditionalFormatting>
  <conditionalFormatting sqref="Y66 V66 S66">
    <cfRule type="top10" dxfId="4" priority="1" rank="1"/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AF41-8F37-4834-B425-9B23896465D2}">
  <sheetPr codeName="Feuil23"/>
  <dimension ref="A1:I377"/>
  <sheetViews>
    <sheetView zoomScaleNormal="100" zoomScaleSheetLayoutView="85" workbookViewId="0">
      <selection activeCell="E2" sqref="E2:F2"/>
    </sheetView>
  </sheetViews>
  <sheetFormatPr baseColWidth="10" defaultColWidth="0" defaultRowHeight="15" zeroHeight="1" x14ac:dyDescent="0.2"/>
  <cols>
    <col min="1" max="1" width="11.796875" style="445" customWidth="1"/>
    <col min="2" max="2" width="16" style="445" customWidth="1"/>
    <col min="3" max="4" width="14.3984375" style="445" customWidth="1"/>
    <col min="5" max="5" width="15.19921875" style="445" customWidth="1"/>
    <col min="6" max="6" width="14.3984375" style="445" customWidth="1"/>
    <col min="7" max="7" width="10.796875" style="445" hidden="1" customWidth="1"/>
    <col min="8" max="8" width="22.3984375" style="445" hidden="1" customWidth="1"/>
    <col min="9" max="9" width="0" style="445" hidden="1" customWidth="1"/>
    <col min="10" max="16384" width="10.796875" style="445" hidden="1"/>
  </cols>
  <sheetData>
    <row r="1" spans="1:9" ht="33.75" customHeight="1" x14ac:dyDescent="0.2">
      <c r="A1" s="486" t="s">
        <v>338</v>
      </c>
      <c r="B1" s="486" t="s">
        <v>102</v>
      </c>
      <c r="C1" s="487" t="s">
        <v>339</v>
      </c>
      <c r="D1" s="486" t="s">
        <v>340</v>
      </c>
      <c r="E1" s="880" t="s">
        <v>341</v>
      </c>
      <c r="F1" s="880"/>
    </row>
    <row r="2" spans="1:9" x14ac:dyDescent="0.2">
      <c r="A2" s="499">
        <v>30000</v>
      </c>
      <c r="B2" s="497">
        <v>0.06</v>
      </c>
      <c r="C2" s="498">
        <v>15</v>
      </c>
      <c r="D2" s="488">
        <f>-PMT(B2/12,12*C2,B6)</f>
        <v>253.15704841453538</v>
      </c>
      <c r="E2" s="881">
        <v>45108</v>
      </c>
      <c r="F2" s="881"/>
    </row>
    <row r="3" spans="1:9" x14ac:dyDescent="0.2">
      <c r="A3" s="444"/>
      <c r="B3" s="489"/>
      <c r="C3" s="490"/>
      <c r="D3" s="444"/>
      <c r="E3" s="491"/>
      <c r="F3" s="444"/>
    </row>
    <row r="4" spans="1:9" ht="21" x14ac:dyDescent="0.25">
      <c r="A4" s="879" t="s">
        <v>342</v>
      </c>
      <c r="B4" s="879"/>
      <c r="C4" s="879"/>
      <c r="D4" s="879"/>
      <c r="E4" s="879"/>
      <c r="F4" s="879"/>
      <c r="H4" s="476"/>
    </row>
    <row r="5" spans="1:9" ht="34" x14ac:dyDescent="0.2">
      <c r="A5" s="492" t="s">
        <v>343</v>
      </c>
      <c r="B5" s="492" t="s">
        <v>344</v>
      </c>
      <c r="C5" s="493" t="s">
        <v>340</v>
      </c>
      <c r="D5" s="493" t="s">
        <v>345</v>
      </c>
      <c r="E5" s="493" t="s">
        <v>346</v>
      </c>
      <c r="F5" s="492" t="s">
        <v>347</v>
      </c>
      <c r="H5" s="494"/>
      <c r="I5" s="495"/>
    </row>
    <row r="6" spans="1:9" x14ac:dyDescent="0.2">
      <c r="A6" s="496">
        <f>E2</f>
        <v>45108</v>
      </c>
      <c r="B6" s="470">
        <f>A2</f>
        <v>30000</v>
      </c>
      <c r="C6" s="472">
        <f>IF(ROUND(Tableau36[[#This Row],[Solde début période]],2)&lt;=0,0,$D$2)</f>
        <v>253.15704841453538</v>
      </c>
      <c r="D6" s="472">
        <f t="shared" ref="D6:D69" si="0">B6*($B$2/12)</f>
        <v>150</v>
      </c>
      <c r="E6" s="472">
        <f t="shared" ref="E6:E69" si="1">C6-D6</f>
        <v>103.15704841453538</v>
      </c>
      <c r="F6" s="470">
        <f t="shared" ref="F6:F69" si="2">B6-E6</f>
        <v>29896.842951585466</v>
      </c>
      <c r="G6" s="470"/>
    </row>
    <row r="7" spans="1:9" x14ac:dyDescent="0.2">
      <c r="A7" s="496">
        <f>EDATE(A6,1)</f>
        <v>45139</v>
      </c>
      <c r="B7" s="470">
        <f t="shared" ref="B7:B70" si="3">F6</f>
        <v>29896.842951585466</v>
      </c>
      <c r="C7" s="472">
        <f>IF(ROUND(Tableau36[[#This Row],[Solde début période]],2)&lt;=0,0,$D$2)</f>
        <v>253.15704841453538</v>
      </c>
      <c r="D7" s="472">
        <f t="shared" si="0"/>
        <v>149.48421475792733</v>
      </c>
      <c r="E7" s="472">
        <f t="shared" si="1"/>
        <v>103.67283365660805</v>
      </c>
      <c r="F7" s="470">
        <f t="shared" si="2"/>
        <v>29793.170117928858</v>
      </c>
      <c r="G7" s="470"/>
    </row>
    <row r="8" spans="1:9" x14ac:dyDescent="0.2">
      <c r="A8" s="496">
        <f t="shared" ref="A8:A71" si="4">EDATE(A7,1)</f>
        <v>45170</v>
      </c>
      <c r="B8" s="470">
        <f t="shared" si="3"/>
        <v>29793.170117928858</v>
      </c>
      <c r="C8" s="472">
        <f>IF(ROUND(Tableau36[[#This Row],[Solde début période]],2)&lt;=0,0,$D$2)</f>
        <v>253.15704841453538</v>
      </c>
      <c r="D8" s="472">
        <f t="shared" si="0"/>
        <v>148.9658505896443</v>
      </c>
      <c r="E8" s="472">
        <f t="shared" si="1"/>
        <v>104.19119782489108</v>
      </c>
      <c r="F8" s="470">
        <f t="shared" si="2"/>
        <v>29688.978920103968</v>
      </c>
      <c r="G8" s="470"/>
    </row>
    <row r="9" spans="1:9" x14ac:dyDescent="0.2">
      <c r="A9" s="496">
        <f t="shared" si="4"/>
        <v>45200</v>
      </c>
      <c r="B9" s="470">
        <f t="shared" si="3"/>
        <v>29688.978920103968</v>
      </c>
      <c r="C9" s="472">
        <f>IF(ROUND(Tableau36[[#This Row],[Solde début période]],2)&lt;=0,0,$D$2)</f>
        <v>253.15704841453538</v>
      </c>
      <c r="D9" s="472">
        <f t="shared" si="0"/>
        <v>148.44489460051983</v>
      </c>
      <c r="E9" s="472">
        <f t="shared" si="1"/>
        <v>104.71215381401555</v>
      </c>
      <c r="F9" s="470">
        <f t="shared" si="2"/>
        <v>29584.266766289951</v>
      </c>
      <c r="G9" s="470"/>
    </row>
    <row r="10" spans="1:9" x14ac:dyDescent="0.2">
      <c r="A10" s="496">
        <f t="shared" si="4"/>
        <v>45231</v>
      </c>
      <c r="B10" s="470">
        <f t="shared" si="3"/>
        <v>29584.266766289951</v>
      </c>
      <c r="C10" s="472">
        <f>IF(ROUND(Tableau36[[#This Row],[Solde début période]],2)&lt;=0,0,$D$2)</f>
        <v>253.15704841453538</v>
      </c>
      <c r="D10" s="472">
        <f t="shared" si="0"/>
        <v>147.92133383144977</v>
      </c>
      <c r="E10" s="472">
        <f t="shared" si="1"/>
        <v>105.23571458308561</v>
      </c>
      <c r="F10" s="470">
        <f t="shared" si="2"/>
        <v>29479.031051706865</v>
      </c>
      <c r="G10" s="470"/>
    </row>
    <row r="11" spans="1:9" x14ac:dyDescent="0.2">
      <c r="A11" s="496">
        <f t="shared" si="4"/>
        <v>45261</v>
      </c>
      <c r="B11" s="470">
        <f t="shared" si="3"/>
        <v>29479.031051706865</v>
      </c>
      <c r="C11" s="472">
        <f>IF(ROUND(Tableau36[[#This Row],[Solde début période]],2)&lt;=0,0,$D$2)</f>
        <v>253.15704841453538</v>
      </c>
      <c r="D11" s="472">
        <f t="shared" si="0"/>
        <v>147.39515525853432</v>
      </c>
      <c r="E11" s="472">
        <f t="shared" si="1"/>
        <v>105.76189315600107</v>
      </c>
      <c r="F11" s="470">
        <f t="shared" si="2"/>
        <v>29373.269158550862</v>
      </c>
      <c r="G11" s="470"/>
    </row>
    <row r="12" spans="1:9" x14ac:dyDescent="0.2">
      <c r="A12" s="496">
        <f t="shared" si="4"/>
        <v>45292</v>
      </c>
      <c r="B12" s="470">
        <f t="shared" si="3"/>
        <v>29373.269158550862</v>
      </c>
      <c r="C12" s="472">
        <f>IF(ROUND(Tableau36[[#This Row],[Solde début période]],2)&lt;=0,0,$D$2)</f>
        <v>253.15704841453538</v>
      </c>
      <c r="D12" s="472">
        <f t="shared" si="0"/>
        <v>146.86634579275432</v>
      </c>
      <c r="E12" s="472">
        <f t="shared" si="1"/>
        <v>106.29070262178107</v>
      </c>
      <c r="F12" s="470">
        <f t="shared" si="2"/>
        <v>29266.978455929082</v>
      </c>
      <c r="G12" s="470"/>
    </row>
    <row r="13" spans="1:9" x14ac:dyDescent="0.2">
      <c r="A13" s="496">
        <f t="shared" si="4"/>
        <v>45323</v>
      </c>
      <c r="B13" s="470">
        <f t="shared" si="3"/>
        <v>29266.978455929082</v>
      </c>
      <c r="C13" s="472">
        <f>IF(ROUND(Tableau36[[#This Row],[Solde début période]],2)&lt;=0,0,$D$2)</f>
        <v>253.15704841453538</v>
      </c>
      <c r="D13" s="472">
        <f t="shared" si="0"/>
        <v>146.3348922796454</v>
      </c>
      <c r="E13" s="472">
        <f t="shared" si="1"/>
        <v>106.82215613488998</v>
      </c>
      <c r="F13" s="470">
        <f t="shared" si="2"/>
        <v>29160.156299794191</v>
      </c>
      <c r="G13" s="470"/>
    </row>
    <row r="14" spans="1:9" x14ac:dyDescent="0.2">
      <c r="A14" s="496">
        <f t="shared" si="4"/>
        <v>45352</v>
      </c>
      <c r="B14" s="470">
        <f t="shared" si="3"/>
        <v>29160.156299794191</v>
      </c>
      <c r="C14" s="472">
        <f>IF(ROUND(Tableau36[[#This Row],[Solde début période]],2)&lt;=0,0,$D$2)</f>
        <v>253.15704841453538</v>
      </c>
      <c r="D14" s="472">
        <f t="shared" si="0"/>
        <v>145.80078149897096</v>
      </c>
      <c r="E14" s="472">
        <f t="shared" si="1"/>
        <v>107.35626691556442</v>
      </c>
      <c r="F14" s="470">
        <f t="shared" si="2"/>
        <v>29052.800032878626</v>
      </c>
      <c r="G14" s="470"/>
    </row>
    <row r="15" spans="1:9" x14ac:dyDescent="0.2">
      <c r="A15" s="496">
        <f t="shared" si="4"/>
        <v>45383</v>
      </c>
      <c r="B15" s="470">
        <f t="shared" si="3"/>
        <v>29052.800032878626</v>
      </c>
      <c r="C15" s="472">
        <f>IF(ROUND(Tableau36[[#This Row],[Solde début période]],2)&lt;=0,0,$D$2)</f>
        <v>253.15704841453538</v>
      </c>
      <c r="D15" s="472">
        <f t="shared" si="0"/>
        <v>145.26400016439314</v>
      </c>
      <c r="E15" s="472">
        <f t="shared" si="1"/>
        <v>107.89304825014224</v>
      </c>
      <c r="F15" s="470">
        <f t="shared" si="2"/>
        <v>28944.906984628484</v>
      </c>
      <c r="G15" s="470"/>
    </row>
    <row r="16" spans="1:9" x14ac:dyDescent="0.2">
      <c r="A16" s="496">
        <f t="shared" si="4"/>
        <v>45413</v>
      </c>
      <c r="B16" s="470">
        <f t="shared" si="3"/>
        <v>28944.906984628484</v>
      </c>
      <c r="C16" s="472">
        <f>IF(ROUND(Tableau36[[#This Row],[Solde début période]],2)&lt;=0,0,$D$2)</f>
        <v>253.15704841453538</v>
      </c>
      <c r="D16" s="472">
        <f t="shared" si="0"/>
        <v>144.72453492314241</v>
      </c>
      <c r="E16" s="472">
        <f t="shared" si="1"/>
        <v>108.43251349139297</v>
      </c>
      <c r="F16" s="470">
        <f t="shared" si="2"/>
        <v>28836.474471137091</v>
      </c>
      <c r="G16" s="470"/>
    </row>
    <row r="17" spans="1:7" x14ac:dyDescent="0.2">
      <c r="A17" s="496">
        <f t="shared" si="4"/>
        <v>45444</v>
      </c>
      <c r="B17" s="470">
        <f t="shared" si="3"/>
        <v>28836.474471137091</v>
      </c>
      <c r="C17" s="472">
        <f>IF(ROUND(Tableau36[[#This Row],[Solde début période]],2)&lt;=0,0,$D$2)</f>
        <v>253.15704841453538</v>
      </c>
      <c r="D17" s="472">
        <f t="shared" si="0"/>
        <v>144.18237235568546</v>
      </c>
      <c r="E17" s="472">
        <f t="shared" si="1"/>
        <v>108.97467605884992</v>
      </c>
      <c r="F17" s="470">
        <f t="shared" si="2"/>
        <v>28727.499795078242</v>
      </c>
      <c r="G17" s="470"/>
    </row>
    <row r="18" spans="1:7" x14ac:dyDescent="0.2">
      <c r="A18" s="496">
        <f t="shared" si="4"/>
        <v>45474</v>
      </c>
      <c r="B18" s="470">
        <f t="shared" si="3"/>
        <v>28727.499795078242</v>
      </c>
      <c r="C18" s="472">
        <f>IF(ROUND(Tableau36[[#This Row],[Solde début période]],2)&lt;=0,0,$D$2)</f>
        <v>253.15704841453538</v>
      </c>
      <c r="D18" s="472">
        <f t="shared" si="0"/>
        <v>143.63749897539122</v>
      </c>
      <c r="E18" s="472">
        <f t="shared" si="1"/>
        <v>109.51954943914416</v>
      </c>
      <c r="F18" s="470">
        <f t="shared" si="2"/>
        <v>28617.980245639097</v>
      </c>
      <c r="G18" s="470"/>
    </row>
    <row r="19" spans="1:7" x14ac:dyDescent="0.2">
      <c r="A19" s="496">
        <f t="shared" si="4"/>
        <v>45505</v>
      </c>
      <c r="B19" s="470">
        <f t="shared" si="3"/>
        <v>28617.980245639097</v>
      </c>
      <c r="C19" s="472">
        <f>IF(ROUND(Tableau36[[#This Row],[Solde début période]],2)&lt;=0,0,$D$2)</f>
        <v>253.15704841453538</v>
      </c>
      <c r="D19" s="472">
        <f t="shared" si="0"/>
        <v>143.08990122819549</v>
      </c>
      <c r="E19" s="472">
        <f t="shared" si="1"/>
        <v>110.06714718633989</v>
      </c>
      <c r="F19" s="470">
        <f t="shared" si="2"/>
        <v>28507.913098452758</v>
      </c>
      <c r="G19" s="470"/>
    </row>
    <row r="20" spans="1:7" x14ac:dyDescent="0.2">
      <c r="A20" s="496">
        <f t="shared" si="4"/>
        <v>45536</v>
      </c>
      <c r="B20" s="470">
        <f t="shared" si="3"/>
        <v>28507.913098452758</v>
      </c>
      <c r="C20" s="472">
        <f>IF(ROUND(Tableau36[[#This Row],[Solde début période]],2)&lt;=0,0,$D$2)</f>
        <v>253.15704841453538</v>
      </c>
      <c r="D20" s="472">
        <f t="shared" si="0"/>
        <v>142.53956549226379</v>
      </c>
      <c r="E20" s="472">
        <f t="shared" si="1"/>
        <v>110.61748292227159</v>
      </c>
      <c r="F20" s="470">
        <f t="shared" si="2"/>
        <v>28397.295615530486</v>
      </c>
      <c r="G20" s="470"/>
    </row>
    <row r="21" spans="1:7" x14ac:dyDescent="0.2">
      <c r="A21" s="496">
        <f t="shared" si="4"/>
        <v>45566</v>
      </c>
      <c r="B21" s="470">
        <f t="shared" si="3"/>
        <v>28397.295615530486</v>
      </c>
      <c r="C21" s="472">
        <f>IF(ROUND(Tableau36[[#This Row],[Solde début période]],2)&lt;=0,0,$D$2)</f>
        <v>253.15704841453538</v>
      </c>
      <c r="D21" s="472">
        <f t="shared" si="0"/>
        <v>141.98647807765244</v>
      </c>
      <c r="E21" s="472">
        <f t="shared" si="1"/>
        <v>111.17057033688295</v>
      </c>
      <c r="F21" s="470">
        <f t="shared" si="2"/>
        <v>28286.125045193603</v>
      </c>
      <c r="G21" s="470"/>
    </row>
    <row r="22" spans="1:7" x14ac:dyDescent="0.2">
      <c r="A22" s="496">
        <f t="shared" si="4"/>
        <v>45597</v>
      </c>
      <c r="B22" s="470">
        <f t="shared" si="3"/>
        <v>28286.125045193603</v>
      </c>
      <c r="C22" s="472">
        <f>IF(ROUND(Tableau36[[#This Row],[Solde début période]],2)&lt;=0,0,$D$2)</f>
        <v>253.15704841453538</v>
      </c>
      <c r="D22" s="472">
        <f t="shared" si="0"/>
        <v>141.43062522596802</v>
      </c>
      <c r="E22" s="472">
        <f t="shared" si="1"/>
        <v>111.72642318856737</v>
      </c>
      <c r="F22" s="470">
        <f t="shared" si="2"/>
        <v>28174.398622005036</v>
      </c>
      <c r="G22" s="470"/>
    </row>
    <row r="23" spans="1:7" x14ac:dyDescent="0.2">
      <c r="A23" s="496">
        <f t="shared" si="4"/>
        <v>45627</v>
      </c>
      <c r="B23" s="470">
        <f t="shared" si="3"/>
        <v>28174.398622005036</v>
      </c>
      <c r="C23" s="472">
        <f>IF(ROUND(Tableau36[[#This Row],[Solde début période]],2)&lt;=0,0,$D$2)</f>
        <v>253.15704841453538</v>
      </c>
      <c r="D23" s="472">
        <f t="shared" si="0"/>
        <v>140.87199311002519</v>
      </c>
      <c r="E23" s="472">
        <f t="shared" si="1"/>
        <v>112.28505530451019</v>
      </c>
      <c r="F23" s="470">
        <f t="shared" si="2"/>
        <v>28062.113566700526</v>
      </c>
      <c r="G23" s="470"/>
    </row>
    <row r="24" spans="1:7" x14ac:dyDescent="0.2">
      <c r="A24" s="496">
        <f t="shared" si="4"/>
        <v>45658</v>
      </c>
      <c r="B24" s="470">
        <f t="shared" si="3"/>
        <v>28062.113566700526</v>
      </c>
      <c r="C24" s="472">
        <f>IF(ROUND(Tableau36[[#This Row],[Solde début période]],2)&lt;=0,0,$D$2)</f>
        <v>253.15704841453538</v>
      </c>
      <c r="D24" s="472">
        <f t="shared" si="0"/>
        <v>140.31056783350263</v>
      </c>
      <c r="E24" s="472">
        <f t="shared" si="1"/>
        <v>112.84648058103275</v>
      </c>
      <c r="F24" s="470">
        <f t="shared" si="2"/>
        <v>27949.267086119493</v>
      </c>
      <c r="G24" s="470"/>
    </row>
    <row r="25" spans="1:7" x14ac:dyDescent="0.2">
      <c r="A25" s="496">
        <f t="shared" si="4"/>
        <v>45689</v>
      </c>
      <c r="B25" s="470">
        <f t="shared" si="3"/>
        <v>27949.267086119493</v>
      </c>
      <c r="C25" s="472">
        <f>IF(ROUND(Tableau36[[#This Row],[Solde début période]],2)&lt;=0,0,$D$2)</f>
        <v>253.15704841453538</v>
      </c>
      <c r="D25" s="472">
        <f t="shared" si="0"/>
        <v>139.74633543059747</v>
      </c>
      <c r="E25" s="472">
        <f t="shared" si="1"/>
        <v>113.41071298393791</v>
      </c>
      <c r="F25" s="470">
        <f t="shared" si="2"/>
        <v>27835.856373135553</v>
      </c>
      <c r="G25" s="470"/>
    </row>
    <row r="26" spans="1:7" x14ac:dyDescent="0.2">
      <c r="A26" s="496">
        <f t="shared" si="4"/>
        <v>45717</v>
      </c>
      <c r="B26" s="470">
        <f t="shared" si="3"/>
        <v>27835.856373135553</v>
      </c>
      <c r="C26" s="472">
        <f>IF(ROUND(Tableau36[[#This Row],[Solde début période]],2)&lt;=0,0,$D$2)</f>
        <v>253.15704841453538</v>
      </c>
      <c r="D26" s="472">
        <f t="shared" si="0"/>
        <v>139.17928186567778</v>
      </c>
      <c r="E26" s="472">
        <f t="shared" si="1"/>
        <v>113.9777665488576</v>
      </c>
      <c r="F26" s="470">
        <f t="shared" si="2"/>
        <v>27721.878606586695</v>
      </c>
      <c r="G26" s="470"/>
    </row>
    <row r="27" spans="1:7" x14ac:dyDescent="0.2">
      <c r="A27" s="496">
        <f t="shared" si="4"/>
        <v>45748</v>
      </c>
      <c r="B27" s="470">
        <f t="shared" si="3"/>
        <v>27721.878606586695</v>
      </c>
      <c r="C27" s="472">
        <f>IF(ROUND(Tableau36[[#This Row],[Solde début période]],2)&lt;=0,0,$D$2)</f>
        <v>253.15704841453538</v>
      </c>
      <c r="D27" s="472">
        <f t="shared" si="0"/>
        <v>138.60939303293347</v>
      </c>
      <c r="E27" s="472">
        <f t="shared" si="1"/>
        <v>114.54765538160191</v>
      </c>
      <c r="F27" s="470">
        <f t="shared" si="2"/>
        <v>27607.330951205095</v>
      </c>
      <c r="G27" s="470"/>
    </row>
    <row r="28" spans="1:7" x14ac:dyDescent="0.2">
      <c r="A28" s="496">
        <f t="shared" si="4"/>
        <v>45778</v>
      </c>
      <c r="B28" s="470">
        <f t="shared" si="3"/>
        <v>27607.330951205095</v>
      </c>
      <c r="C28" s="472">
        <f>IF(ROUND(Tableau36[[#This Row],[Solde début période]],2)&lt;=0,0,$D$2)</f>
        <v>253.15704841453538</v>
      </c>
      <c r="D28" s="472">
        <f t="shared" si="0"/>
        <v>138.03665475602548</v>
      </c>
      <c r="E28" s="472">
        <f t="shared" si="1"/>
        <v>115.1203936585099</v>
      </c>
      <c r="F28" s="470">
        <f t="shared" si="2"/>
        <v>27492.210557546583</v>
      </c>
      <c r="G28" s="470"/>
    </row>
    <row r="29" spans="1:7" x14ac:dyDescent="0.2">
      <c r="A29" s="496">
        <f t="shared" si="4"/>
        <v>45809</v>
      </c>
      <c r="B29" s="470">
        <f t="shared" si="3"/>
        <v>27492.210557546583</v>
      </c>
      <c r="C29" s="472">
        <f>IF(ROUND(Tableau36[[#This Row],[Solde début période]],2)&lt;=0,0,$D$2)</f>
        <v>253.15704841453538</v>
      </c>
      <c r="D29" s="472">
        <f t="shared" si="0"/>
        <v>137.46105278773291</v>
      </c>
      <c r="E29" s="472">
        <f t="shared" si="1"/>
        <v>115.69599562680247</v>
      </c>
      <c r="F29" s="470">
        <f t="shared" si="2"/>
        <v>27376.514561919779</v>
      </c>
      <c r="G29" s="470"/>
    </row>
    <row r="30" spans="1:7" x14ac:dyDescent="0.2">
      <c r="A30" s="496">
        <f t="shared" si="4"/>
        <v>45839</v>
      </c>
      <c r="B30" s="470">
        <f t="shared" si="3"/>
        <v>27376.514561919779</v>
      </c>
      <c r="C30" s="472">
        <f>IF(ROUND(Tableau36[[#This Row],[Solde début période]],2)&lt;=0,0,$D$2)</f>
        <v>253.15704841453538</v>
      </c>
      <c r="D30" s="472">
        <f t="shared" si="0"/>
        <v>136.88257280959891</v>
      </c>
      <c r="E30" s="472">
        <f t="shared" si="1"/>
        <v>116.27447560493647</v>
      </c>
      <c r="F30" s="470">
        <f t="shared" si="2"/>
        <v>27260.240086314843</v>
      </c>
      <c r="G30" s="470"/>
    </row>
    <row r="31" spans="1:7" x14ac:dyDescent="0.2">
      <c r="A31" s="496">
        <f t="shared" si="4"/>
        <v>45870</v>
      </c>
      <c r="B31" s="470">
        <f t="shared" si="3"/>
        <v>27260.240086314843</v>
      </c>
      <c r="C31" s="472">
        <f>IF(ROUND(Tableau36[[#This Row],[Solde début période]],2)&lt;=0,0,$D$2)</f>
        <v>253.15704841453538</v>
      </c>
      <c r="D31" s="472">
        <f t="shared" si="0"/>
        <v>136.30120043157422</v>
      </c>
      <c r="E31" s="472">
        <f t="shared" si="1"/>
        <v>116.85584798296117</v>
      </c>
      <c r="F31" s="470">
        <f t="shared" si="2"/>
        <v>27143.384238331881</v>
      </c>
      <c r="G31" s="470"/>
    </row>
    <row r="32" spans="1:7" x14ac:dyDescent="0.2">
      <c r="A32" s="496">
        <f t="shared" si="4"/>
        <v>45901</v>
      </c>
      <c r="B32" s="470">
        <f t="shared" si="3"/>
        <v>27143.384238331881</v>
      </c>
      <c r="C32" s="472">
        <f>IF(ROUND(Tableau36[[#This Row],[Solde début période]],2)&lt;=0,0,$D$2)</f>
        <v>253.15704841453538</v>
      </c>
      <c r="D32" s="472">
        <f t="shared" si="0"/>
        <v>135.7169211916594</v>
      </c>
      <c r="E32" s="472">
        <f t="shared" si="1"/>
        <v>117.44012722287599</v>
      </c>
      <c r="F32" s="470">
        <f t="shared" si="2"/>
        <v>27025.944111109005</v>
      </c>
      <c r="G32" s="470"/>
    </row>
    <row r="33" spans="1:7" x14ac:dyDescent="0.2">
      <c r="A33" s="496">
        <f t="shared" si="4"/>
        <v>45931</v>
      </c>
      <c r="B33" s="470">
        <f t="shared" si="3"/>
        <v>27025.944111109005</v>
      </c>
      <c r="C33" s="472">
        <f>IF(ROUND(Tableau36[[#This Row],[Solde début période]],2)&lt;=0,0,$D$2)</f>
        <v>253.15704841453538</v>
      </c>
      <c r="D33" s="472">
        <f t="shared" si="0"/>
        <v>135.12972055554502</v>
      </c>
      <c r="E33" s="472">
        <f t="shared" si="1"/>
        <v>118.02732785899036</v>
      </c>
      <c r="F33" s="470">
        <f t="shared" si="2"/>
        <v>26907.916783250013</v>
      </c>
      <c r="G33" s="470"/>
    </row>
    <row r="34" spans="1:7" x14ac:dyDescent="0.2">
      <c r="A34" s="496">
        <f t="shared" si="4"/>
        <v>45962</v>
      </c>
      <c r="B34" s="470">
        <f t="shared" si="3"/>
        <v>26907.916783250013</v>
      </c>
      <c r="C34" s="472">
        <f>IF(ROUND(Tableau36[[#This Row],[Solde début période]],2)&lt;=0,0,$D$2)</f>
        <v>253.15704841453538</v>
      </c>
      <c r="D34" s="472">
        <f t="shared" si="0"/>
        <v>134.53958391625008</v>
      </c>
      <c r="E34" s="472">
        <f t="shared" si="1"/>
        <v>118.6174644982853</v>
      </c>
      <c r="F34" s="470">
        <f t="shared" si="2"/>
        <v>26789.299318751728</v>
      </c>
      <c r="G34" s="470"/>
    </row>
    <row r="35" spans="1:7" x14ac:dyDescent="0.2">
      <c r="A35" s="496">
        <f t="shared" si="4"/>
        <v>45992</v>
      </c>
      <c r="B35" s="470">
        <f t="shared" si="3"/>
        <v>26789.299318751728</v>
      </c>
      <c r="C35" s="472">
        <f>IF(ROUND(Tableau36[[#This Row],[Solde début période]],2)&lt;=0,0,$D$2)</f>
        <v>253.15704841453538</v>
      </c>
      <c r="D35" s="472">
        <f t="shared" si="0"/>
        <v>133.94649659375864</v>
      </c>
      <c r="E35" s="472">
        <f t="shared" si="1"/>
        <v>119.21055182077674</v>
      </c>
      <c r="F35" s="470">
        <f t="shared" si="2"/>
        <v>26670.088766930952</v>
      </c>
      <c r="G35" s="470"/>
    </row>
    <row r="36" spans="1:7" x14ac:dyDescent="0.2">
      <c r="A36" s="496">
        <f t="shared" si="4"/>
        <v>46023</v>
      </c>
      <c r="B36" s="470">
        <f t="shared" si="3"/>
        <v>26670.088766930952</v>
      </c>
      <c r="C36" s="472">
        <f>IF(ROUND(Tableau36[[#This Row],[Solde début période]],2)&lt;=0,0,$D$2)</f>
        <v>253.15704841453538</v>
      </c>
      <c r="D36" s="472">
        <f t="shared" si="0"/>
        <v>133.35044383465475</v>
      </c>
      <c r="E36" s="472">
        <f t="shared" si="1"/>
        <v>119.80660457988063</v>
      </c>
      <c r="F36" s="470">
        <f t="shared" si="2"/>
        <v>26550.282162351072</v>
      </c>
      <c r="G36" s="470"/>
    </row>
    <row r="37" spans="1:7" x14ac:dyDescent="0.2">
      <c r="A37" s="496">
        <f t="shared" si="4"/>
        <v>46054</v>
      </c>
      <c r="B37" s="470">
        <f t="shared" si="3"/>
        <v>26550.282162351072</v>
      </c>
      <c r="C37" s="472">
        <f>IF(ROUND(Tableau36[[#This Row],[Solde début période]],2)&lt;=0,0,$D$2)</f>
        <v>253.15704841453538</v>
      </c>
      <c r="D37" s="472">
        <f t="shared" si="0"/>
        <v>132.75141081175536</v>
      </c>
      <c r="E37" s="472">
        <f t="shared" si="1"/>
        <v>120.40563760278002</v>
      </c>
      <c r="F37" s="470">
        <f t="shared" si="2"/>
        <v>26429.876524748292</v>
      </c>
      <c r="G37" s="470"/>
    </row>
    <row r="38" spans="1:7" x14ac:dyDescent="0.2">
      <c r="A38" s="496">
        <f t="shared" si="4"/>
        <v>46082</v>
      </c>
      <c r="B38" s="470">
        <f t="shared" si="3"/>
        <v>26429.876524748292</v>
      </c>
      <c r="C38" s="472">
        <f>IF(ROUND(Tableau36[[#This Row],[Solde début période]],2)&lt;=0,0,$D$2)</f>
        <v>253.15704841453538</v>
      </c>
      <c r="D38" s="472">
        <f t="shared" si="0"/>
        <v>132.14938262374147</v>
      </c>
      <c r="E38" s="472">
        <f t="shared" si="1"/>
        <v>121.00766579079391</v>
      </c>
      <c r="F38" s="470">
        <f t="shared" si="2"/>
        <v>26308.868858957496</v>
      </c>
      <c r="G38" s="470"/>
    </row>
    <row r="39" spans="1:7" x14ac:dyDescent="0.2">
      <c r="A39" s="496">
        <f t="shared" si="4"/>
        <v>46113</v>
      </c>
      <c r="B39" s="470">
        <f t="shared" si="3"/>
        <v>26308.868858957496</v>
      </c>
      <c r="C39" s="472">
        <f>IF(ROUND(Tableau36[[#This Row],[Solde début période]],2)&lt;=0,0,$D$2)</f>
        <v>253.15704841453538</v>
      </c>
      <c r="D39" s="472">
        <f t="shared" si="0"/>
        <v>131.54434429478749</v>
      </c>
      <c r="E39" s="472">
        <f t="shared" si="1"/>
        <v>121.61270411974789</v>
      </c>
      <c r="F39" s="470">
        <f t="shared" si="2"/>
        <v>26187.256154837749</v>
      </c>
      <c r="G39" s="470"/>
    </row>
    <row r="40" spans="1:7" x14ac:dyDescent="0.2">
      <c r="A40" s="496">
        <f t="shared" si="4"/>
        <v>46143</v>
      </c>
      <c r="B40" s="470">
        <f t="shared" si="3"/>
        <v>26187.256154837749</v>
      </c>
      <c r="C40" s="472">
        <f>IF(ROUND(Tableau36[[#This Row],[Solde début période]],2)&lt;=0,0,$D$2)</f>
        <v>253.15704841453538</v>
      </c>
      <c r="D40" s="472">
        <f t="shared" si="0"/>
        <v>130.93628077418876</v>
      </c>
      <c r="E40" s="472">
        <f t="shared" si="1"/>
        <v>122.22076764034662</v>
      </c>
      <c r="F40" s="470">
        <f t="shared" si="2"/>
        <v>26065.035387197404</v>
      </c>
      <c r="G40" s="470"/>
    </row>
    <row r="41" spans="1:7" x14ac:dyDescent="0.2">
      <c r="A41" s="496">
        <f t="shared" si="4"/>
        <v>46174</v>
      </c>
      <c r="B41" s="470">
        <f t="shared" si="3"/>
        <v>26065.035387197404</v>
      </c>
      <c r="C41" s="472">
        <f>IF(ROUND(Tableau36[[#This Row],[Solde début période]],2)&lt;=0,0,$D$2)</f>
        <v>253.15704841453538</v>
      </c>
      <c r="D41" s="472">
        <f t="shared" si="0"/>
        <v>130.32517693598703</v>
      </c>
      <c r="E41" s="472">
        <f t="shared" si="1"/>
        <v>122.83187147854835</v>
      </c>
      <c r="F41" s="470">
        <f t="shared" si="2"/>
        <v>25942.203515718855</v>
      </c>
      <c r="G41" s="470"/>
    </row>
    <row r="42" spans="1:7" x14ac:dyDescent="0.2">
      <c r="A42" s="496">
        <f t="shared" si="4"/>
        <v>46204</v>
      </c>
      <c r="B42" s="470">
        <f t="shared" si="3"/>
        <v>25942.203515718855</v>
      </c>
      <c r="C42" s="472">
        <f>IF(ROUND(Tableau36[[#This Row],[Solde début période]],2)&lt;=0,0,$D$2)</f>
        <v>253.15704841453538</v>
      </c>
      <c r="D42" s="472">
        <f t="shared" si="0"/>
        <v>129.71101757859427</v>
      </c>
      <c r="E42" s="472">
        <f t="shared" si="1"/>
        <v>123.44603083594112</v>
      </c>
      <c r="F42" s="470">
        <f t="shared" si="2"/>
        <v>25818.757484882914</v>
      </c>
      <c r="G42" s="470"/>
    </row>
    <row r="43" spans="1:7" x14ac:dyDescent="0.2">
      <c r="A43" s="496">
        <f t="shared" si="4"/>
        <v>46235</v>
      </c>
      <c r="B43" s="470">
        <f t="shared" si="3"/>
        <v>25818.757484882914</v>
      </c>
      <c r="C43" s="472">
        <f>IF(ROUND(Tableau36[[#This Row],[Solde début période]],2)&lt;=0,0,$D$2)</f>
        <v>253.15704841453538</v>
      </c>
      <c r="D43" s="472">
        <f t="shared" si="0"/>
        <v>129.09378742441456</v>
      </c>
      <c r="E43" s="472">
        <f t="shared" si="1"/>
        <v>124.06326099012082</v>
      </c>
      <c r="F43" s="470">
        <f t="shared" si="2"/>
        <v>25694.694223892791</v>
      </c>
      <c r="G43" s="470"/>
    </row>
    <row r="44" spans="1:7" x14ac:dyDescent="0.2">
      <c r="A44" s="496">
        <f t="shared" si="4"/>
        <v>46266</v>
      </c>
      <c r="B44" s="470">
        <f t="shared" si="3"/>
        <v>25694.694223892791</v>
      </c>
      <c r="C44" s="472">
        <f>IF(ROUND(Tableau36[[#This Row],[Solde début période]],2)&lt;=0,0,$D$2)</f>
        <v>253.15704841453538</v>
      </c>
      <c r="D44" s="472">
        <f t="shared" si="0"/>
        <v>128.47347111946397</v>
      </c>
      <c r="E44" s="472">
        <f t="shared" si="1"/>
        <v>124.68357729507142</v>
      </c>
      <c r="F44" s="470">
        <f t="shared" si="2"/>
        <v>25570.010646597719</v>
      </c>
      <c r="G44" s="470"/>
    </row>
    <row r="45" spans="1:7" x14ac:dyDescent="0.2">
      <c r="A45" s="496">
        <f t="shared" si="4"/>
        <v>46296</v>
      </c>
      <c r="B45" s="470">
        <f t="shared" si="3"/>
        <v>25570.010646597719</v>
      </c>
      <c r="C45" s="472">
        <f>IF(ROUND(Tableau36[[#This Row],[Solde début période]],2)&lt;=0,0,$D$2)</f>
        <v>253.15704841453538</v>
      </c>
      <c r="D45" s="472">
        <f t="shared" si="0"/>
        <v>127.8500532329886</v>
      </c>
      <c r="E45" s="472">
        <f t="shared" si="1"/>
        <v>125.30699518154678</v>
      </c>
      <c r="F45" s="470">
        <f t="shared" si="2"/>
        <v>25444.703651416174</v>
      </c>
      <c r="G45" s="470"/>
    </row>
    <row r="46" spans="1:7" x14ac:dyDescent="0.2">
      <c r="A46" s="496">
        <f t="shared" si="4"/>
        <v>46327</v>
      </c>
      <c r="B46" s="470">
        <f t="shared" si="3"/>
        <v>25444.703651416174</v>
      </c>
      <c r="C46" s="472">
        <f>IF(ROUND(Tableau36[[#This Row],[Solde début période]],2)&lt;=0,0,$D$2)</f>
        <v>253.15704841453538</v>
      </c>
      <c r="D46" s="472">
        <f t="shared" si="0"/>
        <v>127.22351825708087</v>
      </c>
      <c r="E46" s="472">
        <f t="shared" si="1"/>
        <v>125.93353015745451</v>
      </c>
      <c r="F46" s="470">
        <f t="shared" si="2"/>
        <v>25318.77012125872</v>
      </c>
      <c r="G46" s="470"/>
    </row>
    <row r="47" spans="1:7" x14ac:dyDescent="0.2">
      <c r="A47" s="496">
        <f t="shared" si="4"/>
        <v>46357</v>
      </c>
      <c r="B47" s="470">
        <f t="shared" si="3"/>
        <v>25318.77012125872</v>
      </c>
      <c r="C47" s="472">
        <f>IF(ROUND(Tableau36[[#This Row],[Solde début période]],2)&lt;=0,0,$D$2)</f>
        <v>253.15704841453538</v>
      </c>
      <c r="D47" s="472">
        <f t="shared" si="0"/>
        <v>126.5938506062936</v>
      </c>
      <c r="E47" s="472">
        <f t="shared" si="1"/>
        <v>126.56319780824178</v>
      </c>
      <c r="F47" s="470">
        <f t="shared" si="2"/>
        <v>25192.206923450478</v>
      </c>
      <c r="G47" s="470"/>
    </row>
    <row r="48" spans="1:7" x14ac:dyDescent="0.2">
      <c r="A48" s="496">
        <f t="shared" si="4"/>
        <v>46388</v>
      </c>
      <c r="B48" s="470">
        <f t="shared" si="3"/>
        <v>25192.206923450478</v>
      </c>
      <c r="C48" s="472">
        <f>IF(ROUND(Tableau36[[#This Row],[Solde début période]],2)&lt;=0,0,$D$2)</f>
        <v>253.15704841453538</v>
      </c>
      <c r="D48" s="472">
        <f t="shared" si="0"/>
        <v>125.96103461725239</v>
      </c>
      <c r="E48" s="472">
        <f t="shared" si="1"/>
        <v>127.19601379728299</v>
      </c>
      <c r="F48" s="470">
        <f t="shared" si="2"/>
        <v>25065.010909653196</v>
      </c>
      <c r="G48" s="470"/>
    </row>
    <row r="49" spans="1:7" x14ac:dyDescent="0.2">
      <c r="A49" s="496">
        <f t="shared" si="4"/>
        <v>46419</v>
      </c>
      <c r="B49" s="470">
        <f t="shared" si="3"/>
        <v>25065.010909653196</v>
      </c>
      <c r="C49" s="472">
        <f>IF(ROUND(Tableau36[[#This Row],[Solde début période]],2)&lt;=0,0,$D$2)</f>
        <v>253.15704841453538</v>
      </c>
      <c r="D49" s="472">
        <f t="shared" si="0"/>
        <v>125.32505454826598</v>
      </c>
      <c r="E49" s="472">
        <f t="shared" si="1"/>
        <v>127.8319938662694</v>
      </c>
      <c r="F49" s="470">
        <f t="shared" si="2"/>
        <v>24937.178915786928</v>
      </c>
      <c r="G49" s="470"/>
    </row>
    <row r="50" spans="1:7" x14ac:dyDescent="0.2">
      <c r="A50" s="496">
        <f t="shared" si="4"/>
        <v>46447</v>
      </c>
      <c r="B50" s="470">
        <f t="shared" si="3"/>
        <v>24937.178915786928</v>
      </c>
      <c r="C50" s="472">
        <f>IF(ROUND(Tableau36[[#This Row],[Solde début période]],2)&lt;=0,0,$D$2)</f>
        <v>253.15704841453538</v>
      </c>
      <c r="D50" s="472">
        <f t="shared" si="0"/>
        <v>124.68589457893464</v>
      </c>
      <c r="E50" s="472">
        <f t="shared" si="1"/>
        <v>128.47115383560075</v>
      </c>
      <c r="F50" s="470">
        <f t="shared" si="2"/>
        <v>24808.707761951326</v>
      </c>
      <c r="G50" s="470"/>
    </row>
    <row r="51" spans="1:7" x14ac:dyDescent="0.2">
      <c r="A51" s="496">
        <f t="shared" si="4"/>
        <v>46478</v>
      </c>
      <c r="B51" s="470">
        <f t="shared" si="3"/>
        <v>24808.707761951326</v>
      </c>
      <c r="C51" s="472">
        <f>IF(ROUND(Tableau36[[#This Row],[Solde début période]],2)&lt;=0,0,$D$2)</f>
        <v>253.15704841453538</v>
      </c>
      <c r="D51" s="472">
        <f t="shared" si="0"/>
        <v>124.04353880975663</v>
      </c>
      <c r="E51" s="472">
        <f t="shared" si="1"/>
        <v>129.11350960477876</v>
      </c>
      <c r="F51" s="470">
        <f t="shared" si="2"/>
        <v>24679.594252346546</v>
      </c>
      <c r="G51" s="470"/>
    </row>
    <row r="52" spans="1:7" x14ac:dyDescent="0.2">
      <c r="A52" s="496">
        <f t="shared" si="4"/>
        <v>46508</v>
      </c>
      <c r="B52" s="470">
        <f t="shared" si="3"/>
        <v>24679.594252346546</v>
      </c>
      <c r="C52" s="472">
        <f>IF(ROUND(Tableau36[[#This Row],[Solde début période]],2)&lt;=0,0,$D$2)</f>
        <v>253.15704841453538</v>
      </c>
      <c r="D52" s="472">
        <f t="shared" si="0"/>
        <v>123.39797126173274</v>
      </c>
      <c r="E52" s="472">
        <f t="shared" si="1"/>
        <v>129.75907715280266</v>
      </c>
      <c r="F52" s="470">
        <f t="shared" si="2"/>
        <v>24549.835175193744</v>
      </c>
      <c r="G52" s="470"/>
    </row>
    <row r="53" spans="1:7" x14ac:dyDescent="0.2">
      <c r="A53" s="496">
        <f t="shared" si="4"/>
        <v>46539</v>
      </c>
      <c r="B53" s="470">
        <f t="shared" si="3"/>
        <v>24549.835175193744</v>
      </c>
      <c r="C53" s="472">
        <f>IF(ROUND(Tableau36[[#This Row],[Solde début période]],2)&lt;=0,0,$D$2)</f>
        <v>253.15704841453538</v>
      </c>
      <c r="D53" s="472">
        <f t="shared" si="0"/>
        <v>122.74917587596872</v>
      </c>
      <c r="E53" s="472">
        <f t="shared" si="1"/>
        <v>130.40787253856666</v>
      </c>
      <c r="F53" s="470">
        <f t="shared" si="2"/>
        <v>24419.427302655178</v>
      </c>
      <c r="G53" s="470"/>
    </row>
    <row r="54" spans="1:7" x14ac:dyDescent="0.2">
      <c r="A54" s="496">
        <f t="shared" si="4"/>
        <v>46569</v>
      </c>
      <c r="B54" s="470">
        <f t="shared" si="3"/>
        <v>24419.427302655178</v>
      </c>
      <c r="C54" s="472">
        <f>IF(ROUND(Tableau36[[#This Row],[Solde début période]],2)&lt;=0,0,$D$2)</f>
        <v>253.15704841453538</v>
      </c>
      <c r="D54" s="472">
        <f t="shared" si="0"/>
        <v>122.0971365132759</v>
      </c>
      <c r="E54" s="472">
        <f t="shared" si="1"/>
        <v>131.05991190125948</v>
      </c>
      <c r="F54" s="470">
        <f t="shared" si="2"/>
        <v>24288.36739075392</v>
      </c>
      <c r="G54" s="470"/>
    </row>
    <row r="55" spans="1:7" x14ac:dyDescent="0.2">
      <c r="A55" s="496">
        <f t="shared" si="4"/>
        <v>46600</v>
      </c>
      <c r="B55" s="470">
        <f t="shared" si="3"/>
        <v>24288.36739075392</v>
      </c>
      <c r="C55" s="472">
        <f>IF(ROUND(Tableau36[[#This Row],[Solde début période]],2)&lt;=0,0,$D$2)</f>
        <v>253.15704841453538</v>
      </c>
      <c r="D55" s="472">
        <f t="shared" si="0"/>
        <v>121.4418369537696</v>
      </c>
      <c r="E55" s="472">
        <f t="shared" si="1"/>
        <v>131.71521146076577</v>
      </c>
      <c r="F55" s="470">
        <f t="shared" si="2"/>
        <v>24156.652179293153</v>
      </c>
      <c r="G55" s="470"/>
    </row>
    <row r="56" spans="1:7" x14ac:dyDescent="0.2">
      <c r="A56" s="496">
        <f t="shared" si="4"/>
        <v>46631</v>
      </c>
      <c r="B56" s="470">
        <f t="shared" si="3"/>
        <v>24156.652179293153</v>
      </c>
      <c r="C56" s="472">
        <f>IF(ROUND(Tableau36[[#This Row],[Solde début période]],2)&lt;=0,0,$D$2)</f>
        <v>253.15704841453538</v>
      </c>
      <c r="D56" s="472">
        <f t="shared" si="0"/>
        <v>120.78326089646576</v>
      </c>
      <c r="E56" s="472">
        <f t="shared" si="1"/>
        <v>132.37378751806961</v>
      </c>
      <c r="F56" s="470">
        <f t="shared" si="2"/>
        <v>24024.278391775082</v>
      </c>
      <c r="G56" s="470"/>
    </row>
    <row r="57" spans="1:7" x14ac:dyDescent="0.2">
      <c r="A57" s="496">
        <f t="shared" si="4"/>
        <v>46661</v>
      </c>
      <c r="B57" s="470">
        <f t="shared" si="3"/>
        <v>24024.278391775082</v>
      </c>
      <c r="C57" s="472">
        <f>IF(ROUND(Tableau36[[#This Row],[Solde début période]],2)&lt;=0,0,$D$2)</f>
        <v>253.15704841453538</v>
      </c>
      <c r="D57" s="472">
        <f t="shared" si="0"/>
        <v>120.12139195887541</v>
      </c>
      <c r="E57" s="472">
        <f t="shared" si="1"/>
        <v>133.03565645565999</v>
      </c>
      <c r="F57" s="470">
        <f t="shared" si="2"/>
        <v>23891.242735319422</v>
      </c>
      <c r="G57" s="470"/>
    </row>
    <row r="58" spans="1:7" x14ac:dyDescent="0.2">
      <c r="A58" s="496">
        <f t="shared" si="4"/>
        <v>46692</v>
      </c>
      <c r="B58" s="470">
        <f t="shared" si="3"/>
        <v>23891.242735319422</v>
      </c>
      <c r="C58" s="472">
        <f>IF(ROUND(Tableau36[[#This Row],[Solde début période]],2)&lt;=0,0,$D$2)</f>
        <v>253.15704841453538</v>
      </c>
      <c r="D58" s="472">
        <f t="shared" si="0"/>
        <v>119.45621367659712</v>
      </c>
      <c r="E58" s="472">
        <f t="shared" si="1"/>
        <v>133.70083473793827</v>
      </c>
      <c r="F58" s="470">
        <f t="shared" si="2"/>
        <v>23757.541900581484</v>
      </c>
      <c r="G58" s="470"/>
    </row>
    <row r="59" spans="1:7" x14ac:dyDescent="0.2">
      <c r="A59" s="496">
        <f t="shared" si="4"/>
        <v>46722</v>
      </c>
      <c r="B59" s="470">
        <f t="shared" si="3"/>
        <v>23757.541900581484</v>
      </c>
      <c r="C59" s="472">
        <f>IF(ROUND(Tableau36[[#This Row],[Solde début période]],2)&lt;=0,0,$D$2)</f>
        <v>253.15704841453538</v>
      </c>
      <c r="D59" s="472">
        <f t="shared" si="0"/>
        <v>118.78770950290742</v>
      </c>
      <c r="E59" s="472">
        <f t="shared" si="1"/>
        <v>134.36933891162795</v>
      </c>
      <c r="F59" s="470">
        <f t="shared" si="2"/>
        <v>23623.172561669857</v>
      </c>
      <c r="G59" s="470"/>
    </row>
    <row r="60" spans="1:7" x14ac:dyDescent="0.2">
      <c r="A60" s="496">
        <f t="shared" si="4"/>
        <v>46753</v>
      </c>
      <c r="B60" s="470">
        <f t="shared" si="3"/>
        <v>23623.172561669857</v>
      </c>
      <c r="C60" s="472">
        <f>IF(ROUND(Tableau36[[#This Row],[Solde début période]],2)&lt;=0,0,$D$2)</f>
        <v>253.15704841453538</v>
      </c>
      <c r="D60" s="472">
        <f t="shared" si="0"/>
        <v>118.11586280834929</v>
      </c>
      <c r="E60" s="472">
        <f t="shared" si="1"/>
        <v>135.0411856061861</v>
      </c>
      <c r="F60" s="470">
        <f t="shared" si="2"/>
        <v>23488.131376063669</v>
      </c>
      <c r="G60" s="470"/>
    </row>
    <row r="61" spans="1:7" x14ac:dyDescent="0.2">
      <c r="A61" s="496">
        <f t="shared" si="4"/>
        <v>46784</v>
      </c>
      <c r="B61" s="470">
        <f t="shared" si="3"/>
        <v>23488.131376063669</v>
      </c>
      <c r="C61" s="472">
        <f>IF(ROUND(Tableau36[[#This Row],[Solde début période]],2)&lt;=0,0,$D$2)</f>
        <v>253.15704841453538</v>
      </c>
      <c r="D61" s="472">
        <f t="shared" si="0"/>
        <v>117.44065688031834</v>
      </c>
      <c r="E61" s="472">
        <f t="shared" si="1"/>
        <v>135.71639153421705</v>
      </c>
      <c r="F61" s="470">
        <f t="shared" si="2"/>
        <v>23352.414984529452</v>
      </c>
      <c r="G61" s="470"/>
    </row>
    <row r="62" spans="1:7" x14ac:dyDescent="0.2">
      <c r="A62" s="496">
        <f t="shared" si="4"/>
        <v>46813</v>
      </c>
      <c r="B62" s="470">
        <f t="shared" si="3"/>
        <v>23352.414984529452</v>
      </c>
      <c r="C62" s="472">
        <f>IF(ROUND(Tableau36[[#This Row],[Solde début période]],2)&lt;=0,0,$D$2)</f>
        <v>253.15704841453538</v>
      </c>
      <c r="D62" s="472">
        <f t="shared" si="0"/>
        <v>116.76207492264726</v>
      </c>
      <c r="E62" s="472">
        <f t="shared" si="1"/>
        <v>136.39497349188812</v>
      </c>
      <c r="F62" s="470">
        <f t="shared" si="2"/>
        <v>23216.020011037563</v>
      </c>
      <c r="G62" s="470"/>
    </row>
    <row r="63" spans="1:7" x14ac:dyDescent="0.2">
      <c r="A63" s="496">
        <f t="shared" si="4"/>
        <v>46844</v>
      </c>
      <c r="B63" s="470">
        <f t="shared" si="3"/>
        <v>23216.020011037563</v>
      </c>
      <c r="C63" s="472">
        <f>IF(ROUND(Tableau36[[#This Row],[Solde début période]],2)&lt;=0,0,$D$2)</f>
        <v>253.15704841453538</v>
      </c>
      <c r="D63" s="472">
        <f t="shared" si="0"/>
        <v>116.08010005518781</v>
      </c>
      <c r="E63" s="472">
        <f t="shared" si="1"/>
        <v>137.07694835934757</v>
      </c>
      <c r="F63" s="470">
        <f t="shared" si="2"/>
        <v>23078.943062678216</v>
      </c>
      <c r="G63" s="470"/>
    </row>
    <row r="64" spans="1:7" x14ac:dyDescent="0.2">
      <c r="A64" s="496">
        <f t="shared" si="4"/>
        <v>46874</v>
      </c>
      <c r="B64" s="470">
        <f t="shared" si="3"/>
        <v>23078.943062678216</v>
      </c>
      <c r="C64" s="472">
        <f>IF(ROUND(Tableau36[[#This Row],[Solde début période]],2)&lt;=0,0,$D$2)</f>
        <v>253.15704841453538</v>
      </c>
      <c r="D64" s="472">
        <f t="shared" si="0"/>
        <v>115.39471531339109</v>
      </c>
      <c r="E64" s="472">
        <f t="shared" si="1"/>
        <v>137.76233310114429</v>
      </c>
      <c r="F64" s="470">
        <f t="shared" si="2"/>
        <v>22941.18072957707</v>
      </c>
      <c r="G64" s="470"/>
    </row>
    <row r="65" spans="1:7" x14ac:dyDescent="0.2">
      <c r="A65" s="496">
        <f t="shared" si="4"/>
        <v>46905</v>
      </c>
      <c r="B65" s="470">
        <f t="shared" si="3"/>
        <v>22941.18072957707</v>
      </c>
      <c r="C65" s="472">
        <f>IF(ROUND(Tableau36[[#This Row],[Solde début période]],2)&lt;=0,0,$D$2)</f>
        <v>253.15704841453538</v>
      </c>
      <c r="D65" s="472">
        <f t="shared" si="0"/>
        <v>114.70590364788535</v>
      </c>
      <c r="E65" s="472">
        <f t="shared" si="1"/>
        <v>138.45114476665003</v>
      </c>
      <c r="F65" s="470">
        <f t="shared" si="2"/>
        <v>22802.729584810419</v>
      </c>
      <c r="G65" s="470"/>
    </row>
    <row r="66" spans="1:7" x14ac:dyDescent="0.2">
      <c r="A66" s="496">
        <f t="shared" si="4"/>
        <v>46935</v>
      </c>
      <c r="B66" s="470">
        <f t="shared" si="3"/>
        <v>22802.729584810419</v>
      </c>
      <c r="C66" s="472">
        <f>IF(ROUND(Tableau36[[#This Row],[Solde début période]],2)&lt;=0,0,$D$2)</f>
        <v>253.15704841453538</v>
      </c>
      <c r="D66" s="472">
        <f t="shared" si="0"/>
        <v>114.01364792405209</v>
      </c>
      <c r="E66" s="472">
        <f t="shared" si="1"/>
        <v>139.14340049048329</v>
      </c>
      <c r="F66" s="470">
        <f t="shared" si="2"/>
        <v>22663.586184319935</v>
      </c>
      <c r="G66" s="470"/>
    </row>
    <row r="67" spans="1:7" x14ac:dyDescent="0.2">
      <c r="A67" s="496">
        <f t="shared" si="4"/>
        <v>46966</v>
      </c>
      <c r="B67" s="470">
        <f t="shared" si="3"/>
        <v>22663.586184319935</v>
      </c>
      <c r="C67" s="472">
        <f>IF(ROUND(Tableau36[[#This Row],[Solde début période]],2)&lt;=0,0,$D$2)</f>
        <v>253.15704841453538</v>
      </c>
      <c r="D67" s="472">
        <f t="shared" si="0"/>
        <v>113.31793092159967</v>
      </c>
      <c r="E67" s="472">
        <f t="shared" si="1"/>
        <v>139.83911749293571</v>
      </c>
      <c r="F67" s="470">
        <f t="shared" si="2"/>
        <v>22523.747066827</v>
      </c>
      <c r="G67" s="470"/>
    </row>
    <row r="68" spans="1:7" x14ac:dyDescent="0.2">
      <c r="A68" s="496">
        <f t="shared" si="4"/>
        <v>46997</v>
      </c>
      <c r="B68" s="470">
        <f t="shared" si="3"/>
        <v>22523.747066827</v>
      </c>
      <c r="C68" s="472">
        <f>IF(ROUND(Tableau36[[#This Row],[Solde début période]],2)&lt;=0,0,$D$2)</f>
        <v>253.15704841453538</v>
      </c>
      <c r="D68" s="472">
        <f t="shared" si="0"/>
        <v>112.618735334135</v>
      </c>
      <c r="E68" s="472">
        <f t="shared" si="1"/>
        <v>140.53831308040037</v>
      </c>
      <c r="F68" s="470">
        <f t="shared" si="2"/>
        <v>22383.2087537466</v>
      </c>
      <c r="G68" s="470"/>
    </row>
    <row r="69" spans="1:7" x14ac:dyDescent="0.2">
      <c r="A69" s="496">
        <f t="shared" si="4"/>
        <v>47027</v>
      </c>
      <c r="B69" s="470">
        <f t="shared" si="3"/>
        <v>22383.2087537466</v>
      </c>
      <c r="C69" s="472">
        <f>IF(ROUND(Tableau36[[#This Row],[Solde début période]],2)&lt;=0,0,$D$2)</f>
        <v>253.15704841453538</v>
      </c>
      <c r="D69" s="472">
        <f t="shared" si="0"/>
        <v>111.916043768733</v>
      </c>
      <c r="E69" s="472">
        <f t="shared" si="1"/>
        <v>141.24100464580238</v>
      </c>
      <c r="F69" s="470">
        <f t="shared" si="2"/>
        <v>22241.967749100797</v>
      </c>
      <c r="G69" s="470"/>
    </row>
    <row r="70" spans="1:7" x14ac:dyDescent="0.2">
      <c r="A70" s="496">
        <f t="shared" si="4"/>
        <v>47058</v>
      </c>
      <c r="B70" s="470">
        <f t="shared" si="3"/>
        <v>22241.967749100797</v>
      </c>
      <c r="C70" s="472">
        <f>IF(ROUND(Tableau36[[#This Row],[Solde début période]],2)&lt;=0,0,$D$2)</f>
        <v>253.15704841453538</v>
      </c>
      <c r="D70" s="472">
        <f t="shared" ref="D70:D133" si="5">B70*($B$2/12)</f>
        <v>111.20983874550399</v>
      </c>
      <c r="E70" s="472">
        <f t="shared" ref="E70:E133" si="6">C70-D70</f>
        <v>141.94720966903139</v>
      </c>
      <c r="F70" s="470">
        <f t="shared" ref="F70:F133" si="7">B70-E70</f>
        <v>22100.020539431767</v>
      </c>
      <c r="G70" s="470"/>
    </row>
    <row r="71" spans="1:7" x14ac:dyDescent="0.2">
      <c r="A71" s="496">
        <f t="shared" si="4"/>
        <v>47088</v>
      </c>
      <c r="B71" s="470">
        <f t="shared" ref="B71:B134" si="8">F70</f>
        <v>22100.020539431767</v>
      </c>
      <c r="C71" s="472">
        <f>IF(ROUND(Tableau36[[#This Row],[Solde début période]],2)&lt;=0,0,$D$2)</f>
        <v>253.15704841453538</v>
      </c>
      <c r="D71" s="472">
        <f t="shared" si="5"/>
        <v>110.50010269715884</v>
      </c>
      <c r="E71" s="472">
        <f t="shared" si="6"/>
        <v>142.65694571737654</v>
      </c>
      <c r="F71" s="470">
        <f t="shared" si="7"/>
        <v>21957.363593714392</v>
      </c>
      <c r="G71" s="470"/>
    </row>
    <row r="72" spans="1:7" x14ac:dyDescent="0.2">
      <c r="A72" s="496">
        <f t="shared" ref="A72:A135" si="9">EDATE(A71,1)</f>
        <v>47119</v>
      </c>
      <c r="B72" s="470">
        <f t="shared" si="8"/>
        <v>21957.363593714392</v>
      </c>
      <c r="C72" s="472">
        <f>IF(ROUND(Tableau36[[#This Row],[Solde début période]],2)&lt;=0,0,$D$2)</f>
        <v>253.15704841453538</v>
      </c>
      <c r="D72" s="472">
        <f t="shared" si="5"/>
        <v>109.78681796857197</v>
      </c>
      <c r="E72" s="472">
        <f t="shared" si="6"/>
        <v>143.37023044596341</v>
      </c>
      <c r="F72" s="470">
        <f t="shared" si="7"/>
        <v>21813.99336326843</v>
      </c>
      <c r="G72" s="470"/>
    </row>
    <row r="73" spans="1:7" x14ac:dyDescent="0.2">
      <c r="A73" s="496">
        <f t="shared" si="9"/>
        <v>47150</v>
      </c>
      <c r="B73" s="470">
        <f t="shared" si="8"/>
        <v>21813.99336326843</v>
      </c>
      <c r="C73" s="472">
        <f>IF(ROUND(Tableau36[[#This Row],[Solde début période]],2)&lt;=0,0,$D$2)</f>
        <v>253.15704841453538</v>
      </c>
      <c r="D73" s="472">
        <f t="shared" si="5"/>
        <v>109.06996681634214</v>
      </c>
      <c r="E73" s="472">
        <f t="shared" si="6"/>
        <v>144.08708159819324</v>
      </c>
      <c r="F73" s="470">
        <f t="shared" si="7"/>
        <v>21669.906281670235</v>
      </c>
      <c r="G73" s="470"/>
    </row>
    <row r="74" spans="1:7" x14ac:dyDescent="0.2">
      <c r="A74" s="496">
        <f t="shared" si="9"/>
        <v>47178</v>
      </c>
      <c r="B74" s="470">
        <f t="shared" si="8"/>
        <v>21669.906281670235</v>
      </c>
      <c r="C74" s="472">
        <f>IF(ROUND(Tableau36[[#This Row],[Solde début période]],2)&lt;=0,0,$D$2)</f>
        <v>253.15704841453538</v>
      </c>
      <c r="D74" s="472">
        <f t="shared" si="5"/>
        <v>108.34953140835118</v>
      </c>
      <c r="E74" s="472">
        <f t="shared" si="6"/>
        <v>144.80751700618418</v>
      </c>
      <c r="F74" s="470">
        <f t="shared" si="7"/>
        <v>21525.09876466405</v>
      </c>
      <c r="G74" s="470"/>
    </row>
    <row r="75" spans="1:7" x14ac:dyDescent="0.2">
      <c r="A75" s="496">
        <f t="shared" si="9"/>
        <v>47209</v>
      </c>
      <c r="B75" s="470">
        <f t="shared" si="8"/>
        <v>21525.09876466405</v>
      </c>
      <c r="C75" s="472">
        <f>IF(ROUND(Tableau36[[#This Row],[Solde début période]],2)&lt;=0,0,$D$2)</f>
        <v>253.15704841453538</v>
      </c>
      <c r="D75" s="472">
        <f t="shared" si="5"/>
        <v>107.62549382332026</v>
      </c>
      <c r="E75" s="472">
        <f t="shared" si="6"/>
        <v>145.53155459121513</v>
      </c>
      <c r="F75" s="470">
        <f t="shared" si="7"/>
        <v>21379.567210072833</v>
      </c>
      <c r="G75" s="470"/>
    </row>
    <row r="76" spans="1:7" x14ac:dyDescent="0.2">
      <c r="A76" s="496">
        <f t="shared" si="9"/>
        <v>47239</v>
      </c>
      <c r="B76" s="470">
        <f t="shared" si="8"/>
        <v>21379.567210072833</v>
      </c>
      <c r="C76" s="472">
        <f>IF(ROUND(Tableau36[[#This Row],[Solde début période]],2)&lt;=0,0,$D$2)</f>
        <v>253.15704841453538</v>
      </c>
      <c r="D76" s="472">
        <f t="shared" si="5"/>
        <v>106.89783605036416</v>
      </c>
      <c r="E76" s="472">
        <f t="shared" si="6"/>
        <v>146.25921236417122</v>
      </c>
      <c r="F76" s="470">
        <f t="shared" si="7"/>
        <v>21233.307997708664</v>
      </c>
      <c r="G76" s="470"/>
    </row>
    <row r="77" spans="1:7" x14ac:dyDescent="0.2">
      <c r="A77" s="496">
        <f t="shared" si="9"/>
        <v>47270</v>
      </c>
      <c r="B77" s="470">
        <f t="shared" si="8"/>
        <v>21233.307997708664</v>
      </c>
      <c r="C77" s="472">
        <f>IF(ROUND(Tableau36[[#This Row],[Solde début période]],2)&lt;=0,0,$D$2)</f>
        <v>253.15704841453538</v>
      </c>
      <c r="D77" s="472">
        <f t="shared" si="5"/>
        <v>106.16653998854332</v>
      </c>
      <c r="E77" s="472">
        <f t="shared" si="6"/>
        <v>146.99050842599206</v>
      </c>
      <c r="F77" s="470">
        <f t="shared" si="7"/>
        <v>21086.317489282672</v>
      </c>
      <c r="G77" s="470"/>
    </row>
    <row r="78" spans="1:7" x14ac:dyDescent="0.2">
      <c r="A78" s="496">
        <f t="shared" si="9"/>
        <v>47300</v>
      </c>
      <c r="B78" s="470">
        <f t="shared" si="8"/>
        <v>21086.317489282672</v>
      </c>
      <c r="C78" s="472">
        <f>IF(ROUND(Tableau36[[#This Row],[Solde début période]],2)&lt;=0,0,$D$2)</f>
        <v>253.15704841453538</v>
      </c>
      <c r="D78" s="472">
        <f t="shared" si="5"/>
        <v>105.43158744641336</v>
      </c>
      <c r="E78" s="472">
        <f t="shared" si="6"/>
        <v>147.72546096812204</v>
      </c>
      <c r="F78" s="470">
        <f t="shared" si="7"/>
        <v>20938.59202831455</v>
      </c>
      <c r="G78" s="470"/>
    </row>
    <row r="79" spans="1:7" x14ac:dyDescent="0.2">
      <c r="A79" s="496">
        <f t="shared" si="9"/>
        <v>47331</v>
      </c>
      <c r="B79" s="470">
        <f t="shared" si="8"/>
        <v>20938.59202831455</v>
      </c>
      <c r="C79" s="472">
        <f>IF(ROUND(Tableau36[[#This Row],[Solde début période]],2)&lt;=0,0,$D$2)</f>
        <v>253.15704841453538</v>
      </c>
      <c r="D79" s="472">
        <f t="shared" si="5"/>
        <v>104.69296014157275</v>
      </c>
      <c r="E79" s="472">
        <f t="shared" si="6"/>
        <v>148.46408827296261</v>
      </c>
      <c r="F79" s="470">
        <f t="shared" si="7"/>
        <v>20790.127940041588</v>
      </c>
      <c r="G79" s="470"/>
    </row>
    <row r="80" spans="1:7" x14ac:dyDescent="0.2">
      <c r="A80" s="496">
        <f t="shared" si="9"/>
        <v>47362</v>
      </c>
      <c r="B80" s="470">
        <f t="shared" si="8"/>
        <v>20790.127940041588</v>
      </c>
      <c r="C80" s="472">
        <f>IF(ROUND(Tableau36[[#This Row],[Solde début période]],2)&lt;=0,0,$D$2)</f>
        <v>253.15704841453538</v>
      </c>
      <c r="D80" s="472">
        <f t="shared" si="5"/>
        <v>103.95063970020794</v>
      </c>
      <c r="E80" s="472">
        <f t="shared" si="6"/>
        <v>149.20640871432744</v>
      </c>
      <c r="F80" s="470">
        <f t="shared" si="7"/>
        <v>20640.921531327262</v>
      </c>
      <c r="G80" s="470"/>
    </row>
    <row r="81" spans="1:7" x14ac:dyDescent="0.2">
      <c r="A81" s="496">
        <f t="shared" si="9"/>
        <v>47392</v>
      </c>
      <c r="B81" s="470">
        <f t="shared" si="8"/>
        <v>20640.921531327262</v>
      </c>
      <c r="C81" s="472">
        <f>IF(ROUND(Tableau36[[#This Row],[Solde début période]],2)&lt;=0,0,$D$2)</f>
        <v>253.15704841453538</v>
      </c>
      <c r="D81" s="472">
        <f t="shared" si="5"/>
        <v>103.20460765663631</v>
      </c>
      <c r="E81" s="472">
        <f t="shared" si="6"/>
        <v>149.95244075789907</v>
      </c>
      <c r="F81" s="470">
        <f t="shared" si="7"/>
        <v>20490.969090569364</v>
      </c>
      <c r="G81" s="470"/>
    </row>
    <row r="82" spans="1:7" x14ac:dyDescent="0.2">
      <c r="A82" s="496">
        <f t="shared" si="9"/>
        <v>47423</v>
      </c>
      <c r="B82" s="470">
        <f t="shared" si="8"/>
        <v>20490.969090569364</v>
      </c>
      <c r="C82" s="472">
        <f>IF(ROUND(Tableau36[[#This Row],[Solde début période]],2)&lt;=0,0,$D$2)</f>
        <v>253.15704841453538</v>
      </c>
      <c r="D82" s="472">
        <f t="shared" si="5"/>
        <v>102.45484545284683</v>
      </c>
      <c r="E82" s="472">
        <f t="shared" si="6"/>
        <v>150.70220296168856</v>
      </c>
      <c r="F82" s="470">
        <f t="shared" si="7"/>
        <v>20340.266887607675</v>
      </c>
      <c r="G82" s="470"/>
    </row>
    <row r="83" spans="1:7" x14ac:dyDescent="0.2">
      <c r="A83" s="496">
        <f t="shared" si="9"/>
        <v>47453</v>
      </c>
      <c r="B83" s="470">
        <f t="shared" si="8"/>
        <v>20340.266887607675</v>
      </c>
      <c r="C83" s="472">
        <f>IF(ROUND(Tableau36[[#This Row],[Solde début période]],2)&lt;=0,0,$D$2)</f>
        <v>253.15704841453538</v>
      </c>
      <c r="D83" s="472">
        <f t="shared" si="5"/>
        <v>101.70133443803837</v>
      </c>
      <c r="E83" s="472">
        <f t="shared" si="6"/>
        <v>151.45571397649701</v>
      </c>
      <c r="F83" s="470">
        <f t="shared" si="7"/>
        <v>20188.811173631177</v>
      </c>
      <c r="G83" s="470"/>
    </row>
    <row r="84" spans="1:7" x14ac:dyDescent="0.2">
      <c r="A84" s="496">
        <f t="shared" si="9"/>
        <v>47484</v>
      </c>
      <c r="B84" s="470">
        <f t="shared" si="8"/>
        <v>20188.811173631177</v>
      </c>
      <c r="C84" s="472">
        <f>IF(ROUND(Tableau36[[#This Row],[Solde début période]],2)&lt;=0,0,$D$2)</f>
        <v>253.15704841453538</v>
      </c>
      <c r="D84" s="472">
        <f t="shared" si="5"/>
        <v>100.94405586815589</v>
      </c>
      <c r="E84" s="472">
        <f t="shared" si="6"/>
        <v>152.2129925463795</v>
      </c>
      <c r="F84" s="470">
        <f t="shared" si="7"/>
        <v>20036.598181084799</v>
      </c>
      <c r="G84" s="470"/>
    </row>
    <row r="85" spans="1:7" x14ac:dyDescent="0.2">
      <c r="A85" s="496">
        <f t="shared" si="9"/>
        <v>47515</v>
      </c>
      <c r="B85" s="470">
        <f t="shared" si="8"/>
        <v>20036.598181084799</v>
      </c>
      <c r="C85" s="472">
        <f>IF(ROUND(Tableau36[[#This Row],[Solde début période]],2)&lt;=0,0,$D$2)</f>
        <v>253.15704841453538</v>
      </c>
      <c r="D85" s="472">
        <f t="shared" si="5"/>
        <v>100.18299090542399</v>
      </c>
      <c r="E85" s="472">
        <f t="shared" si="6"/>
        <v>152.97405750911139</v>
      </c>
      <c r="F85" s="470">
        <f t="shared" si="7"/>
        <v>19883.624123575686</v>
      </c>
      <c r="G85" s="470"/>
    </row>
    <row r="86" spans="1:7" x14ac:dyDescent="0.2">
      <c r="A86" s="496">
        <f t="shared" si="9"/>
        <v>47543</v>
      </c>
      <c r="B86" s="470">
        <f t="shared" si="8"/>
        <v>19883.624123575686</v>
      </c>
      <c r="C86" s="472">
        <f>IF(ROUND(Tableau36[[#This Row],[Solde début période]],2)&lt;=0,0,$D$2)</f>
        <v>253.15704841453538</v>
      </c>
      <c r="D86" s="472">
        <f t="shared" si="5"/>
        <v>99.418120617878429</v>
      </c>
      <c r="E86" s="472">
        <f t="shared" si="6"/>
        <v>153.73892779665695</v>
      </c>
      <c r="F86" s="470">
        <f t="shared" si="7"/>
        <v>19729.885195779028</v>
      </c>
      <c r="G86" s="470"/>
    </row>
    <row r="87" spans="1:7" x14ac:dyDescent="0.2">
      <c r="A87" s="496">
        <f t="shared" si="9"/>
        <v>47574</v>
      </c>
      <c r="B87" s="470">
        <f t="shared" si="8"/>
        <v>19729.885195779028</v>
      </c>
      <c r="C87" s="472">
        <f>IF(ROUND(Tableau36[[#This Row],[Solde début période]],2)&lt;=0,0,$D$2)</f>
        <v>253.15704841453538</v>
      </c>
      <c r="D87" s="472">
        <f t="shared" si="5"/>
        <v>98.649425978895138</v>
      </c>
      <c r="E87" s="472">
        <f t="shared" si="6"/>
        <v>154.50762243564026</v>
      </c>
      <c r="F87" s="470">
        <f t="shared" si="7"/>
        <v>19575.377573343387</v>
      </c>
      <c r="G87" s="470"/>
    </row>
    <row r="88" spans="1:7" x14ac:dyDescent="0.2">
      <c r="A88" s="496">
        <f t="shared" si="9"/>
        <v>47604</v>
      </c>
      <c r="B88" s="470">
        <f t="shared" si="8"/>
        <v>19575.377573343387</v>
      </c>
      <c r="C88" s="472">
        <f>IF(ROUND(Tableau36[[#This Row],[Solde début période]],2)&lt;=0,0,$D$2)</f>
        <v>253.15704841453538</v>
      </c>
      <c r="D88" s="472">
        <f t="shared" si="5"/>
        <v>97.876887866716942</v>
      </c>
      <c r="E88" s="472">
        <f t="shared" si="6"/>
        <v>155.28016054781844</v>
      </c>
      <c r="F88" s="470">
        <f t="shared" si="7"/>
        <v>19420.097412795567</v>
      </c>
      <c r="G88" s="470"/>
    </row>
    <row r="89" spans="1:7" x14ac:dyDescent="0.2">
      <c r="A89" s="496">
        <f t="shared" si="9"/>
        <v>47635</v>
      </c>
      <c r="B89" s="470">
        <f t="shared" si="8"/>
        <v>19420.097412795567</v>
      </c>
      <c r="C89" s="472">
        <f>IF(ROUND(Tableau36[[#This Row],[Solde début période]],2)&lt;=0,0,$D$2)</f>
        <v>253.15704841453538</v>
      </c>
      <c r="D89" s="472">
        <f t="shared" si="5"/>
        <v>97.100487063977837</v>
      </c>
      <c r="E89" s="472">
        <f t="shared" si="6"/>
        <v>156.05656135055756</v>
      </c>
      <c r="F89" s="470">
        <f t="shared" si="7"/>
        <v>19264.04085144501</v>
      </c>
      <c r="G89" s="470"/>
    </row>
    <row r="90" spans="1:7" x14ac:dyDescent="0.2">
      <c r="A90" s="496">
        <f t="shared" si="9"/>
        <v>47665</v>
      </c>
      <c r="B90" s="470">
        <f t="shared" si="8"/>
        <v>19264.04085144501</v>
      </c>
      <c r="C90" s="472">
        <f>IF(ROUND(Tableau36[[#This Row],[Solde début période]],2)&lt;=0,0,$D$2)</f>
        <v>253.15704841453538</v>
      </c>
      <c r="D90" s="472">
        <f t="shared" si="5"/>
        <v>96.320204257225058</v>
      </c>
      <c r="E90" s="472">
        <f t="shared" si="6"/>
        <v>156.83684415731034</v>
      </c>
      <c r="F90" s="470">
        <f t="shared" si="7"/>
        <v>19107.204007287699</v>
      </c>
      <c r="G90" s="470"/>
    </row>
    <row r="91" spans="1:7" x14ac:dyDescent="0.2">
      <c r="A91" s="496">
        <f t="shared" si="9"/>
        <v>47696</v>
      </c>
      <c r="B91" s="470">
        <f t="shared" si="8"/>
        <v>19107.204007287699</v>
      </c>
      <c r="C91" s="472">
        <f>IF(ROUND(Tableau36[[#This Row],[Solde début période]],2)&lt;=0,0,$D$2)</f>
        <v>253.15704841453538</v>
      </c>
      <c r="D91" s="472">
        <f t="shared" si="5"/>
        <v>95.536020036438501</v>
      </c>
      <c r="E91" s="472">
        <f t="shared" si="6"/>
        <v>157.62102837809687</v>
      </c>
      <c r="F91" s="470">
        <f t="shared" si="7"/>
        <v>18949.582978909602</v>
      </c>
      <c r="G91" s="470"/>
    </row>
    <row r="92" spans="1:7" x14ac:dyDescent="0.2">
      <c r="A92" s="496">
        <f t="shared" si="9"/>
        <v>47727</v>
      </c>
      <c r="B92" s="470">
        <f t="shared" si="8"/>
        <v>18949.582978909602</v>
      </c>
      <c r="C92" s="472">
        <f>IF(ROUND(Tableau36[[#This Row],[Solde début période]],2)&lt;=0,0,$D$2)</f>
        <v>253.15704841453538</v>
      </c>
      <c r="D92" s="472">
        <f t="shared" si="5"/>
        <v>94.747914894548018</v>
      </c>
      <c r="E92" s="472">
        <f t="shared" si="6"/>
        <v>158.40913351998736</v>
      </c>
      <c r="F92" s="470">
        <f t="shared" si="7"/>
        <v>18791.173845389614</v>
      </c>
      <c r="G92" s="470"/>
    </row>
    <row r="93" spans="1:7" x14ac:dyDescent="0.2">
      <c r="A93" s="496">
        <f t="shared" si="9"/>
        <v>47757</v>
      </c>
      <c r="B93" s="470">
        <f t="shared" si="8"/>
        <v>18791.173845389614</v>
      </c>
      <c r="C93" s="472">
        <f>IF(ROUND(Tableau36[[#This Row],[Solde début période]],2)&lt;=0,0,$D$2)</f>
        <v>253.15704841453538</v>
      </c>
      <c r="D93" s="472">
        <f t="shared" si="5"/>
        <v>93.955869226948067</v>
      </c>
      <c r="E93" s="472">
        <f t="shared" si="6"/>
        <v>159.20117918758731</v>
      </c>
      <c r="F93" s="470">
        <f t="shared" si="7"/>
        <v>18631.972666202026</v>
      </c>
      <c r="G93" s="470"/>
    </row>
    <row r="94" spans="1:7" x14ac:dyDescent="0.2">
      <c r="A94" s="496">
        <f t="shared" si="9"/>
        <v>47788</v>
      </c>
      <c r="B94" s="470">
        <f t="shared" si="8"/>
        <v>18631.972666202026</v>
      </c>
      <c r="C94" s="472">
        <f>IF(ROUND(Tableau36[[#This Row],[Solde début période]],2)&lt;=0,0,$D$2)</f>
        <v>253.15704841453538</v>
      </c>
      <c r="D94" s="472">
        <f t="shared" si="5"/>
        <v>93.159863331010129</v>
      </c>
      <c r="E94" s="472">
        <f t="shared" si="6"/>
        <v>159.99718508352527</v>
      </c>
      <c r="F94" s="470">
        <f t="shared" si="7"/>
        <v>18471.975481118501</v>
      </c>
      <c r="G94" s="470"/>
    </row>
    <row r="95" spans="1:7" x14ac:dyDescent="0.2">
      <c r="A95" s="496">
        <f t="shared" si="9"/>
        <v>47818</v>
      </c>
      <c r="B95" s="470">
        <f t="shared" si="8"/>
        <v>18471.975481118501</v>
      </c>
      <c r="C95" s="472">
        <f>IF(ROUND(Tableau36[[#This Row],[Solde début période]],2)&lt;=0,0,$D$2)</f>
        <v>253.15704841453538</v>
      </c>
      <c r="D95" s="472">
        <f t="shared" si="5"/>
        <v>92.359877405592513</v>
      </c>
      <c r="E95" s="472">
        <f t="shared" si="6"/>
        <v>160.79717100894288</v>
      </c>
      <c r="F95" s="470">
        <f t="shared" si="7"/>
        <v>18311.178310109557</v>
      </c>
      <c r="G95" s="470"/>
    </row>
    <row r="96" spans="1:7" x14ac:dyDescent="0.2">
      <c r="A96" s="496">
        <f t="shared" si="9"/>
        <v>47849</v>
      </c>
      <c r="B96" s="470">
        <f t="shared" si="8"/>
        <v>18311.178310109557</v>
      </c>
      <c r="C96" s="472">
        <f>IF(ROUND(Tableau36[[#This Row],[Solde début période]],2)&lt;=0,0,$D$2)</f>
        <v>253.15704841453538</v>
      </c>
      <c r="D96" s="472">
        <f t="shared" si="5"/>
        <v>91.555891550547784</v>
      </c>
      <c r="E96" s="472">
        <f t="shared" si="6"/>
        <v>161.6011568639876</v>
      </c>
      <c r="F96" s="470">
        <f t="shared" si="7"/>
        <v>18149.577153245569</v>
      </c>
      <c r="G96" s="470"/>
    </row>
    <row r="97" spans="1:7" x14ac:dyDescent="0.2">
      <c r="A97" s="496">
        <f t="shared" si="9"/>
        <v>47880</v>
      </c>
      <c r="B97" s="470">
        <f t="shared" si="8"/>
        <v>18149.577153245569</v>
      </c>
      <c r="C97" s="472">
        <f>IF(ROUND(Tableau36[[#This Row],[Solde début période]],2)&lt;=0,0,$D$2)</f>
        <v>253.15704841453538</v>
      </c>
      <c r="D97" s="472">
        <f t="shared" si="5"/>
        <v>90.747885766227853</v>
      </c>
      <c r="E97" s="472">
        <f t="shared" si="6"/>
        <v>162.40916264830753</v>
      </c>
      <c r="F97" s="470">
        <f t="shared" si="7"/>
        <v>17987.167990597263</v>
      </c>
      <c r="G97" s="470"/>
    </row>
    <row r="98" spans="1:7" x14ac:dyDescent="0.2">
      <c r="A98" s="496">
        <f t="shared" si="9"/>
        <v>47908</v>
      </c>
      <c r="B98" s="470">
        <f t="shared" si="8"/>
        <v>17987.167990597263</v>
      </c>
      <c r="C98" s="472">
        <f>IF(ROUND(Tableau36[[#This Row],[Solde début période]],2)&lt;=0,0,$D$2)</f>
        <v>253.15704841453538</v>
      </c>
      <c r="D98" s="472">
        <f t="shared" si="5"/>
        <v>89.935839952986314</v>
      </c>
      <c r="E98" s="472">
        <f t="shared" si="6"/>
        <v>163.22120846154905</v>
      </c>
      <c r="F98" s="470">
        <f t="shared" si="7"/>
        <v>17823.946782135714</v>
      </c>
      <c r="G98" s="470"/>
    </row>
    <row r="99" spans="1:7" x14ac:dyDescent="0.2">
      <c r="A99" s="496">
        <f t="shared" si="9"/>
        <v>47939</v>
      </c>
      <c r="B99" s="470">
        <f t="shared" si="8"/>
        <v>17823.946782135714</v>
      </c>
      <c r="C99" s="472">
        <f>IF(ROUND(Tableau36[[#This Row],[Solde début période]],2)&lt;=0,0,$D$2)</f>
        <v>253.15704841453538</v>
      </c>
      <c r="D99" s="472">
        <f t="shared" si="5"/>
        <v>89.119733910678576</v>
      </c>
      <c r="E99" s="472">
        <f t="shared" si="6"/>
        <v>164.03731450385681</v>
      </c>
      <c r="F99" s="470">
        <f t="shared" si="7"/>
        <v>17659.909467631856</v>
      </c>
      <c r="G99" s="470"/>
    </row>
    <row r="100" spans="1:7" x14ac:dyDescent="0.2">
      <c r="A100" s="496">
        <f t="shared" si="9"/>
        <v>47969</v>
      </c>
      <c r="B100" s="470">
        <f t="shared" si="8"/>
        <v>17659.909467631856</v>
      </c>
      <c r="C100" s="472">
        <f>IF(ROUND(Tableau36[[#This Row],[Solde début période]],2)&lt;=0,0,$D$2)</f>
        <v>253.15704841453538</v>
      </c>
      <c r="D100" s="472">
        <f t="shared" si="5"/>
        <v>88.299547338159286</v>
      </c>
      <c r="E100" s="472">
        <f t="shared" si="6"/>
        <v>164.85750107637608</v>
      </c>
      <c r="F100" s="470">
        <f t="shared" si="7"/>
        <v>17495.051966555482</v>
      </c>
      <c r="G100" s="470"/>
    </row>
    <row r="101" spans="1:7" x14ac:dyDescent="0.2">
      <c r="A101" s="496">
        <f t="shared" si="9"/>
        <v>48000</v>
      </c>
      <c r="B101" s="470">
        <f t="shared" si="8"/>
        <v>17495.051966555482</v>
      </c>
      <c r="C101" s="472">
        <f>IF(ROUND(Tableau36[[#This Row],[Solde début période]],2)&lt;=0,0,$D$2)</f>
        <v>253.15704841453538</v>
      </c>
      <c r="D101" s="472">
        <f t="shared" si="5"/>
        <v>87.475259832777411</v>
      </c>
      <c r="E101" s="472">
        <f t="shared" si="6"/>
        <v>165.68178858175798</v>
      </c>
      <c r="F101" s="470">
        <f t="shared" si="7"/>
        <v>17329.370177973724</v>
      </c>
      <c r="G101" s="470"/>
    </row>
    <row r="102" spans="1:7" x14ac:dyDescent="0.2">
      <c r="A102" s="496">
        <f t="shared" si="9"/>
        <v>48030</v>
      </c>
      <c r="B102" s="470">
        <f t="shared" si="8"/>
        <v>17329.370177973724</v>
      </c>
      <c r="C102" s="472">
        <f>IF(ROUND(Tableau36[[#This Row],[Solde début période]],2)&lt;=0,0,$D$2)</f>
        <v>253.15704841453538</v>
      </c>
      <c r="D102" s="472">
        <f t="shared" si="5"/>
        <v>86.646850889868617</v>
      </c>
      <c r="E102" s="472">
        <f t="shared" si="6"/>
        <v>166.51019752466675</v>
      </c>
      <c r="F102" s="470">
        <f t="shared" si="7"/>
        <v>17162.859980449059</v>
      </c>
      <c r="G102" s="470"/>
    </row>
    <row r="103" spans="1:7" x14ac:dyDescent="0.2">
      <c r="A103" s="496">
        <f t="shared" si="9"/>
        <v>48061</v>
      </c>
      <c r="B103" s="470">
        <f t="shared" si="8"/>
        <v>17162.859980449059</v>
      </c>
      <c r="C103" s="472">
        <f>IF(ROUND(Tableau36[[#This Row],[Solde début période]],2)&lt;=0,0,$D$2)</f>
        <v>253.15704841453538</v>
      </c>
      <c r="D103" s="472">
        <f t="shared" si="5"/>
        <v>85.814299902245295</v>
      </c>
      <c r="E103" s="472">
        <f t="shared" si="6"/>
        <v>167.34274851229009</v>
      </c>
      <c r="F103" s="470">
        <f t="shared" si="7"/>
        <v>16995.51723193677</v>
      </c>
      <c r="G103" s="470"/>
    </row>
    <row r="104" spans="1:7" x14ac:dyDescent="0.2">
      <c r="A104" s="496">
        <f t="shared" si="9"/>
        <v>48092</v>
      </c>
      <c r="B104" s="470">
        <f t="shared" si="8"/>
        <v>16995.51723193677</v>
      </c>
      <c r="C104" s="472">
        <f>IF(ROUND(Tableau36[[#This Row],[Solde début période]],2)&lt;=0,0,$D$2)</f>
        <v>253.15704841453538</v>
      </c>
      <c r="D104" s="472">
        <f t="shared" si="5"/>
        <v>84.977586159683852</v>
      </c>
      <c r="E104" s="472">
        <f t="shared" si="6"/>
        <v>168.17946225485153</v>
      </c>
      <c r="F104" s="470">
        <f t="shared" si="7"/>
        <v>16827.337769681919</v>
      </c>
      <c r="G104" s="470"/>
    </row>
    <row r="105" spans="1:7" x14ac:dyDescent="0.2">
      <c r="A105" s="496">
        <f t="shared" si="9"/>
        <v>48122</v>
      </c>
      <c r="B105" s="470">
        <f t="shared" si="8"/>
        <v>16827.337769681919</v>
      </c>
      <c r="C105" s="472">
        <f>IF(ROUND(Tableau36[[#This Row],[Solde début période]],2)&lt;=0,0,$D$2)</f>
        <v>253.15704841453538</v>
      </c>
      <c r="D105" s="472">
        <f t="shared" si="5"/>
        <v>84.136688848409591</v>
      </c>
      <c r="E105" s="472">
        <f t="shared" si="6"/>
        <v>169.02035956612579</v>
      </c>
      <c r="F105" s="470">
        <f t="shared" si="7"/>
        <v>16658.317410115793</v>
      </c>
      <c r="G105" s="470"/>
    </row>
    <row r="106" spans="1:7" x14ac:dyDescent="0.2">
      <c r="A106" s="496">
        <f t="shared" si="9"/>
        <v>48153</v>
      </c>
      <c r="B106" s="470">
        <f t="shared" si="8"/>
        <v>16658.317410115793</v>
      </c>
      <c r="C106" s="472">
        <f>IF(ROUND(Tableau36[[#This Row],[Solde début période]],2)&lt;=0,0,$D$2)</f>
        <v>253.15704841453538</v>
      </c>
      <c r="D106" s="472">
        <f t="shared" si="5"/>
        <v>83.291587050578968</v>
      </c>
      <c r="E106" s="472">
        <f t="shared" si="6"/>
        <v>169.8654613639564</v>
      </c>
      <c r="F106" s="470">
        <f t="shared" si="7"/>
        <v>16488.451948751837</v>
      </c>
      <c r="G106" s="470"/>
    </row>
    <row r="107" spans="1:7" x14ac:dyDescent="0.2">
      <c r="A107" s="496">
        <f t="shared" si="9"/>
        <v>48183</v>
      </c>
      <c r="B107" s="470">
        <f t="shared" si="8"/>
        <v>16488.451948751837</v>
      </c>
      <c r="C107" s="472">
        <f>IF(ROUND(Tableau36[[#This Row],[Solde début période]],2)&lt;=0,0,$D$2)</f>
        <v>253.15704841453538</v>
      </c>
      <c r="D107" s="472">
        <f t="shared" si="5"/>
        <v>82.442259743759195</v>
      </c>
      <c r="E107" s="472">
        <f t="shared" si="6"/>
        <v>170.71478867077619</v>
      </c>
      <c r="F107" s="470">
        <f t="shared" si="7"/>
        <v>16317.737160081062</v>
      </c>
      <c r="G107" s="470"/>
    </row>
    <row r="108" spans="1:7" x14ac:dyDescent="0.2">
      <c r="A108" s="496">
        <f t="shared" si="9"/>
        <v>48214</v>
      </c>
      <c r="B108" s="470">
        <f t="shared" si="8"/>
        <v>16317.737160081062</v>
      </c>
      <c r="C108" s="472">
        <f>IF(ROUND(Tableau36[[#This Row],[Solde début période]],2)&lt;=0,0,$D$2)</f>
        <v>253.15704841453538</v>
      </c>
      <c r="D108" s="472">
        <f t="shared" si="5"/>
        <v>81.588685800405315</v>
      </c>
      <c r="E108" s="472">
        <f t="shared" si="6"/>
        <v>171.56836261413008</v>
      </c>
      <c r="F108" s="470">
        <f t="shared" si="7"/>
        <v>16146.168797466931</v>
      </c>
      <c r="G108" s="470"/>
    </row>
    <row r="109" spans="1:7" x14ac:dyDescent="0.2">
      <c r="A109" s="496">
        <f t="shared" si="9"/>
        <v>48245</v>
      </c>
      <c r="B109" s="470">
        <f t="shared" si="8"/>
        <v>16146.168797466931</v>
      </c>
      <c r="C109" s="472">
        <f>IF(ROUND(Tableau36[[#This Row],[Solde début période]],2)&lt;=0,0,$D$2)</f>
        <v>253.15704841453538</v>
      </c>
      <c r="D109" s="472">
        <f t="shared" si="5"/>
        <v>80.730843987334652</v>
      </c>
      <c r="E109" s="472">
        <f t="shared" si="6"/>
        <v>172.42620442720073</v>
      </c>
      <c r="F109" s="470">
        <f t="shared" si="7"/>
        <v>15973.742593039731</v>
      </c>
      <c r="G109" s="470"/>
    </row>
    <row r="110" spans="1:7" x14ac:dyDescent="0.2">
      <c r="A110" s="496">
        <f t="shared" si="9"/>
        <v>48274</v>
      </c>
      <c r="B110" s="470">
        <f t="shared" si="8"/>
        <v>15973.742593039731</v>
      </c>
      <c r="C110" s="472">
        <f>IF(ROUND(Tableau36[[#This Row],[Solde début période]],2)&lt;=0,0,$D$2)</f>
        <v>253.15704841453538</v>
      </c>
      <c r="D110" s="472">
        <f t="shared" si="5"/>
        <v>79.868712965198654</v>
      </c>
      <c r="E110" s="472">
        <f t="shared" si="6"/>
        <v>173.28833544933673</v>
      </c>
      <c r="F110" s="470">
        <f t="shared" si="7"/>
        <v>15800.454257590394</v>
      </c>
      <c r="G110" s="470"/>
    </row>
    <row r="111" spans="1:7" x14ac:dyDescent="0.2">
      <c r="A111" s="496">
        <f t="shared" si="9"/>
        <v>48305</v>
      </c>
      <c r="B111" s="470">
        <f t="shared" si="8"/>
        <v>15800.454257590394</v>
      </c>
      <c r="C111" s="472">
        <f>IF(ROUND(Tableau36[[#This Row],[Solde début période]],2)&lt;=0,0,$D$2)</f>
        <v>253.15704841453538</v>
      </c>
      <c r="D111" s="472">
        <f t="shared" si="5"/>
        <v>79.00227128795197</v>
      </c>
      <c r="E111" s="472">
        <f t="shared" si="6"/>
        <v>174.15477712658341</v>
      </c>
      <c r="F111" s="470">
        <f t="shared" si="7"/>
        <v>15626.299480463811</v>
      </c>
      <c r="G111" s="470"/>
    </row>
    <row r="112" spans="1:7" x14ac:dyDescent="0.2">
      <c r="A112" s="496">
        <f t="shared" si="9"/>
        <v>48335</v>
      </c>
      <c r="B112" s="470">
        <f t="shared" si="8"/>
        <v>15626.299480463811</v>
      </c>
      <c r="C112" s="472">
        <f>IF(ROUND(Tableau36[[#This Row],[Solde début période]],2)&lt;=0,0,$D$2)</f>
        <v>253.15704841453538</v>
      </c>
      <c r="D112" s="472">
        <f t="shared" si="5"/>
        <v>78.131497402319056</v>
      </c>
      <c r="E112" s="472">
        <f t="shared" si="6"/>
        <v>175.02555101221634</v>
      </c>
      <c r="F112" s="470">
        <f t="shared" si="7"/>
        <v>15451.273929451594</v>
      </c>
      <c r="G112" s="470"/>
    </row>
    <row r="113" spans="1:7" x14ac:dyDescent="0.2">
      <c r="A113" s="496">
        <f t="shared" si="9"/>
        <v>48366</v>
      </c>
      <c r="B113" s="470">
        <f t="shared" si="8"/>
        <v>15451.273929451594</v>
      </c>
      <c r="C113" s="472">
        <f>IF(ROUND(Tableau36[[#This Row],[Solde début période]],2)&lt;=0,0,$D$2)</f>
        <v>253.15704841453538</v>
      </c>
      <c r="D113" s="472">
        <f t="shared" si="5"/>
        <v>77.256369647257969</v>
      </c>
      <c r="E113" s="472">
        <f t="shared" si="6"/>
        <v>175.90067876727741</v>
      </c>
      <c r="F113" s="470">
        <f t="shared" si="7"/>
        <v>15275.373250684317</v>
      </c>
      <c r="G113" s="470"/>
    </row>
    <row r="114" spans="1:7" x14ac:dyDescent="0.2">
      <c r="A114" s="496">
        <f t="shared" si="9"/>
        <v>48396</v>
      </c>
      <c r="B114" s="470">
        <f t="shared" si="8"/>
        <v>15275.373250684317</v>
      </c>
      <c r="C114" s="472">
        <f>IF(ROUND(Tableau36[[#This Row],[Solde début période]],2)&lt;=0,0,$D$2)</f>
        <v>253.15704841453538</v>
      </c>
      <c r="D114" s="472">
        <f t="shared" si="5"/>
        <v>76.376866253421582</v>
      </c>
      <c r="E114" s="472">
        <f t="shared" si="6"/>
        <v>176.7801821611138</v>
      </c>
      <c r="F114" s="470">
        <f t="shared" si="7"/>
        <v>15098.593068523203</v>
      </c>
      <c r="G114" s="470"/>
    </row>
    <row r="115" spans="1:7" x14ac:dyDescent="0.2">
      <c r="A115" s="496">
        <f t="shared" si="9"/>
        <v>48427</v>
      </c>
      <c r="B115" s="470">
        <f t="shared" si="8"/>
        <v>15098.593068523203</v>
      </c>
      <c r="C115" s="472">
        <f>IF(ROUND(Tableau36[[#This Row],[Solde début période]],2)&lt;=0,0,$D$2)</f>
        <v>253.15704841453538</v>
      </c>
      <c r="D115" s="472">
        <f t="shared" si="5"/>
        <v>75.492965342616017</v>
      </c>
      <c r="E115" s="472">
        <f t="shared" si="6"/>
        <v>177.66408307191938</v>
      </c>
      <c r="F115" s="470">
        <f t="shared" si="7"/>
        <v>14920.928985451284</v>
      </c>
      <c r="G115" s="470"/>
    </row>
    <row r="116" spans="1:7" x14ac:dyDescent="0.2">
      <c r="A116" s="496">
        <f t="shared" si="9"/>
        <v>48458</v>
      </c>
      <c r="B116" s="470">
        <f t="shared" si="8"/>
        <v>14920.928985451284</v>
      </c>
      <c r="C116" s="472">
        <f>IF(ROUND(Tableau36[[#This Row],[Solde début période]],2)&lt;=0,0,$D$2)</f>
        <v>253.15704841453538</v>
      </c>
      <c r="D116" s="472">
        <f t="shared" si="5"/>
        <v>74.60464492725643</v>
      </c>
      <c r="E116" s="472">
        <f t="shared" si="6"/>
        <v>178.55240348727895</v>
      </c>
      <c r="F116" s="470">
        <f t="shared" si="7"/>
        <v>14742.376581964005</v>
      </c>
      <c r="G116" s="470"/>
    </row>
    <row r="117" spans="1:7" x14ac:dyDescent="0.2">
      <c r="A117" s="496">
        <f t="shared" si="9"/>
        <v>48488</v>
      </c>
      <c r="B117" s="470">
        <f t="shared" si="8"/>
        <v>14742.376581964005</v>
      </c>
      <c r="C117" s="472">
        <f>IF(ROUND(Tableau36[[#This Row],[Solde début période]],2)&lt;=0,0,$D$2)</f>
        <v>253.15704841453538</v>
      </c>
      <c r="D117" s="472">
        <f t="shared" si="5"/>
        <v>73.711882909820019</v>
      </c>
      <c r="E117" s="472">
        <f t="shared" si="6"/>
        <v>179.44516550471536</v>
      </c>
      <c r="F117" s="470">
        <f t="shared" si="7"/>
        <v>14562.931416459289</v>
      </c>
      <c r="G117" s="470"/>
    </row>
    <row r="118" spans="1:7" x14ac:dyDescent="0.2">
      <c r="A118" s="496">
        <f t="shared" si="9"/>
        <v>48519</v>
      </c>
      <c r="B118" s="470">
        <f t="shared" si="8"/>
        <v>14562.931416459289</v>
      </c>
      <c r="C118" s="472">
        <f>IF(ROUND(Tableau36[[#This Row],[Solde début période]],2)&lt;=0,0,$D$2)</f>
        <v>253.15704841453538</v>
      </c>
      <c r="D118" s="472">
        <f t="shared" si="5"/>
        <v>72.814657082296449</v>
      </c>
      <c r="E118" s="472">
        <f t="shared" si="6"/>
        <v>180.34239133223895</v>
      </c>
      <c r="F118" s="470">
        <f t="shared" si="7"/>
        <v>14382.58902512705</v>
      </c>
      <c r="G118" s="470"/>
    </row>
    <row r="119" spans="1:7" x14ac:dyDescent="0.2">
      <c r="A119" s="496">
        <f t="shared" si="9"/>
        <v>48549</v>
      </c>
      <c r="B119" s="470">
        <f t="shared" si="8"/>
        <v>14382.58902512705</v>
      </c>
      <c r="C119" s="472">
        <f>IF(ROUND(Tableau36[[#This Row],[Solde début période]],2)&lt;=0,0,$D$2)</f>
        <v>253.15704841453538</v>
      </c>
      <c r="D119" s="472">
        <f t="shared" si="5"/>
        <v>71.912945125635247</v>
      </c>
      <c r="E119" s="472">
        <f t="shared" si="6"/>
        <v>181.24410328890013</v>
      </c>
      <c r="F119" s="470">
        <f t="shared" si="7"/>
        <v>14201.34492183815</v>
      </c>
      <c r="G119" s="470"/>
    </row>
    <row r="120" spans="1:7" x14ac:dyDescent="0.2">
      <c r="A120" s="496">
        <f t="shared" si="9"/>
        <v>48580</v>
      </c>
      <c r="B120" s="470">
        <f t="shared" si="8"/>
        <v>14201.34492183815</v>
      </c>
      <c r="C120" s="472">
        <f>IF(ROUND(Tableau36[[#This Row],[Solde début période]],2)&lt;=0,0,$D$2)</f>
        <v>253.15704841453538</v>
      </c>
      <c r="D120" s="472">
        <f t="shared" si="5"/>
        <v>71.006724609190755</v>
      </c>
      <c r="E120" s="472">
        <f t="shared" si="6"/>
        <v>182.15032380534461</v>
      </c>
      <c r="F120" s="470">
        <f t="shared" si="7"/>
        <v>14019.194598032806</v>
      </c>
      <c r="G120" s="470"/>
    </row>
    <row r="121" spans="1:7" x14ac:dyDescent="0.2">
      <c r="A121" s="496">
        <f t="shared" si="9"/>
        <v>48611</v>
      </c>
      <c r="B121" s="470">
        <f t="shared" si="8"/>
        <v>14019.194598032806</v>
      </c>
      <c r="C121" s="472">
        <f>IF(ROUND(Tableau36[[#This Row],[Solde début période]],2)&lt;=0,0,$D$2)</f>
        <v>253.15704841453538</v>
      </c>
      <c r="D121" s="472">
        <f t="shared" si="5"/>
        <v>70.095972990164029</v>
      </c>
      <c r="E121" s="472">
        <f t="shared" si="6"/>
        <v>183.06107542437135</v>
      </c>
      <c r="F121" s="470">
        <f t="shared" si="7"/>
        <v>13836.133522608434</v>
      </c>
      <c r="G121" s="470"/>
    </row>
    <row r="122" spans="1:7" x14ac:dyDescent="0.2">
      <c r="A122" s="496">
        <f t="shared" si="9"/>
        <v>48639</v>
      </c>
      <c r="B122" s="470">
        <f t="shared" si="8"/>
        <v>13836.133522608434</v>
      </c>
      <c r="C122" s="472">
        <f>IF(ROUND(Tableau36[[#This Row],[Solde début période]],2)&lt;=0,0,$D$2)</f>
        <v>253.15704841453538</v>
      </c>
      <c r="D122" s="472">
        <f t="shared" si="5"/>
        <v>69.180667613042175</v>
      </c>
      <c r="E122" s="472">
        <f t="shared" si="6"/>
        <v>183.97638080149321</v>
      </c>
      <c r="F122" s="470">
        <f t="shared" si="7"/>
        <v>13652.15714180694</v>
      </c>
      <c r="G122" s="470"/>
    </row>
    <row r="123" spans="1:7" x14ac:dyDescent="0.2">
      <c r="A123" s="496">
        <f t="shared" si="9"/>
        <v>48670</v>
      </c>
      <c r="B123" s="470">
        <f t="shared" si="8"/>
        <v>13652.15714180694</v>
      </c>
      <c r="C123" s="472">
        <f>IF(ROUND(Tableau36[[#This Row],[Solde début période]],2)&lt;=0,0,$D$2)</f>
        <v>253.15704841453538</v>
      </c>
      <c r="D123" s="472">
        <f t="shared" si="5"/>
        <v>68.260785709034707</v>
      </c>
      <c r="E123" s="472">
        <f t="shared" si="6"/>
        <v>184.89626270550067</v>
      </c>
      <c r="F123" s="470">
        <f t="shared" si="7"/>
        <v>13467.260879101439</v>
      </c>
      <c r="G123" s="470"/>
    </row>
    <row r="124" spans="1:7" x14ac:dyDescent="0.2">
      <c r="A124" s="496">
        <f t="shared" si="9"/>
        <v>48700</v>
      </c>
      <c r="B124" s="470">
        <f t="shared" si="8"/>
        <v>13467.260879101439</v>
      </c>
      <c r="C124" s="472">
        <f>IF(ROUND(Tableau36[[#This Row],[Solde début période]],2)&lt;=0,0,$D$2)</f>
        <v>253.15704841453538</v>
      </c>
      <c r="D124" s="472">
        <f t="shared" si="5"/>
        <v>67.336304395507199</v>
      </c>
      <c r="E124" s="472">
        <f t="shared" si="6"/>
        <v>185.82074401902818</v>
      </c>
      <c r="F124" s="470">
        <f t="shared" si="7"/>
        <v>13281.44013508241</v>
      </c>
      <c r="G124" s="470"/>
    </row>
    <row r="125" spans="1:7" x14ac:dyDescent="0.2">
      <c r="A125" s="496">
        <f t="shared" si="9"/>
        <v>48731</v>
      </c>
      <c r="B125" s="470">
        <f t="shared" si="8"/>
        <v>13281.44013508241</v>
      </c>
      <c r="C125" s="472">
        <f>IF(ROUND(Tableau36[[#This Row],[Solde début période]],2)&lt;=0,0,$D$2)</f>
        <v>253.15704841453538</v>
      </c>
      <c r="D125" s="472">
        <f t="shared" si="5"/>
        <v>66.407200675412057</v>
      </c>
      <c r="E125" s="472">
        <f t="shared" si="6"/>
        <v>186.74984773912331</v>
      </c>
      <c r="F125" s="470">
        <f t="shared" si="7"/>
        <v>13094.690287343286</v>
      </c>
      <c r="G125" s="470"/>
    </row>
    <row r="126" spans="1:7" x14ac:dyDescent="0.2">
      <c r="A126" s="496">
        <f t="shared" si="9"/>
        <v>48761</v>
      </c>
      <c r="B126" s="470">
        <f t="shared" si="8"/>
        <v>13094.690287343286</v>
      </c>
      <c r="C126" s="472">
        <f>IF(ROUND(Tableau36[[#This Row],[Solde début période]],2)&lt;=0,0,$D$2)</f>
        <v>253.15704841453538</v>
      </c>
      <c r="D126" s="472">
        <f t="shared" si="5"/>
        <v>65.473451436716431</v>
      </c>
      <c r="E126" s="472">
        <f t="shared" si="6"/>
        <v>187.68359697781895</v>
      </c>
      <c r="F126" s="470">
        <f t="shared" si="7"/>
        <v>12907.006690365468</v>
      </c>
    </row>
    <row r="127" spans="1:7" x14ac:dyDescent="0.2">
      <c r="A127" s="496">
        <f t="shared" si="9"/>
        <v>48792</v>
      </c>
      <c r="B127" s="470">
        <f t="shared" si="8"/>
        <v>12907.006690365468</v>
      </c>
      <c r="C127" s="472">
        <f>IF(ROUND(Tableau36[[#This Row],[Solde début période]],2)&lt;=0,0,$D$2)</f>
        <v>253.15704841453538</v>
      </c>
      <c r="D127" s="472">
        <f t="shared" si="5"/>
        <v>64.535033451827346</v>
      </c>
      <c r="E127" s="472">
        <f t="shared" si="6"/>
        <v>188.62201496270802</v>
      </c>
      <c r="F127" s="470">
        <f t="shared" si="7"/>
        <v>12718.38467540276</v>
      </c>
    </row>
    <row r="128" spans="1:7" x14ac:dyDescent="0.2">
      <c r="A128" s="496">
        <f t="shared" si="9"/>
        <v>48823</v>
      </c>
      <c r="B128" s="470">
        <f t="shared" si="8"/>
        <v>12718.38467540276</v>
      </c>
      <c r="C128" s="472">
        <f>IF(ROUND(Tableau36[[#This Row],[Solde début période]],2)&lt;=0,0,$D$2)</f>
        <v>253.15704841453538</v>
      </c>
      <c r="D128" s="472">
        <f t="shared" si="5"/>
        <v>63.591923377013799</v>
      </c>
      <c r="E128" s="472">
        <f t="shared" si="6"/>
        <v>189.56512503752157</v>
      </c>
      <c r="F128" s="470">
        <f t="shared" si="7"/>
        <v>12528.819550365239</v>
      </c>
    </row>
    <row r="129" spans="1:6" x14ac:dyDescent="0.2">
      <c r="A129" s="496">
        <f t="shared" si="9"/>
        <v>48853</v>
      </c>
      <c r="B129" s="470">
        <f t="shared" si="8"/>
        <v>12528.819550365239</v>
      </c>
      <c r="C129" s="472">
        <f>IF(ROUND(Tableau36[[#This Row],[Solde début période]],2)&lt;=0,0,$D$2)</f>
        <v>253.15704841453538</v>
      </c>
      <c r="D129" s="472">
        <f t="shared" si="5"/>
        <v>62.644097751826195</v>
      </c>
      <c r="E129" s="472">
        <f t="shared" si="6"/>
        <v>190.51295066270919</v>
      </c>
      <c r="F129" s="470">
        <f t="shared" si="7"/>
        <v>12338.30659970253</v>
      </c>
    </row>
    <row r="130" spans="1:6" x14ac:dyDescent="0.2">
      <c r="A130" s="496">
        <f t="shared" si="9"/>
        <v>48884</v>
      </c>
      <c r="B130" s="470">
        <f t="shared" si="8"/>
        <v>12338.30659970253</v>
      </c>
      <c r="C130" s="472">
        <f>IF(ROUND(Tableau36[[#This Row],[Solde début période]],2)&lt;=0,0,$D$2)</f>
        <v>253.15704841453538</v>
      </c>
      <c r="D130" s="472">
        <f t="shared" si="5"/>
        <v>61.691532998512649</v>
      </c>
      <c r="E130" s="472">
        <f t="shared" si="6"/>
        <v>191.46551541602273</v>
      </c>
      <c r="F130" s="470">
        <f t="shared" si="7"/>
        <v>12146.841084286507</v>
      </c>
    </row>
    <row r="131" spans="1:6" x14ac:dyDescent="0.2">
      <c r="A131" s="496">
        <f t="shared" si="9"/>
        <v>48914</v>
      </c>
      <c r="B131" s="470">
        <f t="shared" si="8"/>
        <v>12146.841084286507</v>
      </c>
      <c r="C131" s="472">
        <f>IF(ROUND(Tableau36[[#This Row],[Solde début période]],2)&lt;=0,0,$D$2)</f>
        <v>253.15704841453538</v>
      </c>
      <c r="D131" s="472">
        <f t="shared" si="5"/>
        <v>60.734205421432534</v>
      </c>
      <c r="E131" s="472">
        <f t="shared" si="6"/>
        <v>192.42284299310285</v>
      </c>
      <c r="F131" s="470">
        <f t="shared" si="7"/>
        <v>11954.418241293404</v>
      </c>
    </row>
    <row r="132" spans="1:6" x14ac:dyDescent="0.2">
      <c r="A132" s="496">
        <f t="shared" si="9"/>
        <v>48945</v>
      </c>
      <c r="B132" s="470">
        <f t="shared" si="8"/>
        <v>11954.418241293404</v>
      </c>
      <c r="C132" s="472">
        <f>IF(ROUND(Tableau36[[#This Row],[Solde début période]],2)&lt;=0,0,$D$2)</f>
        <v>253.15704841453538</v>
      </c>
      <c r="D132" s="472">
        <f t="shared" si="5"/>
        <v>59.772091206467024</v>
      </c>
      <c r="E132" s="472">
        <f t="shared" si="6"/>
        <v>193.38495720806836</v>
      </c>
      <c r="F132" s="470">
        <f t="shared" si="7"/>
        <v>11761.033284085335</v>
      </c>
    </row>
    <row r="133" spans="1:6" x14ac:dyDescent="0.2">
      <c r="A133" s="496">
        <f t="shared" si="9"/>
        <v>48976</v>
      </c>
      <c r="B133" s="470">
        <f t="shared" si="8"/>
        <v>11761.033284085335</v>
      </c>
      <c r="C133" s="472">
        <f>IF(ROUND(Tableau36[[#This Row],[Solde début période]],2)&lt;=0,0,$D$2)</f>
        <v>253.15704841453538</v>
      </c>
      <c r="D133" s="472">
        <f t="shared" si="5"/>
        <v>58.80516642042668</v>
      </c>
      <c r="E133" s="472">
        <f t="shared" si="6"/>
        <v>194.35188199410871</v>
      </c>
      <c r="F133" s="470">
        <f t="shared" si="7"/>
        <v>11566.681402091226</v>
      </c>
    </row>
    <row r="134" spans="1:6" x14ac:dyDescent="0.2">
      <c r="A134" s="496">
        <f t="shared" si="9"/>
        <v>49004</v>
      </c>
      <c r="B134" s="470">
        <f t="shared" si="8"/>
        <v>11566.681402091226</v>
      </c>
      <c r="C134" s="472">
        <f>IF(ROUND(Tableau36[[#This Row],[Solde début période]],2)&lt;=0,0,$D$2)</f>
        <v>253.15704841453538</v>
      </c>
      <c r="D134" s="472">
        <f t="shared" ref="D134:D197" si="10">B134*($B$2/12)</f>
        <v>57.833407010456135</v>
      </c>
      <c r="E134" s="472">
        <f t="shared" ref="E134:E197" si="11">C134-D134</f>
        <v>195.32364140407924</v>
      </c>
      <c r="F134" s="470">
        <f t="shared" ref="F134:F197" si="12">B134-E134</f>
        <v>11371.357760687148</v>
      </c>
    </row>
    <row r="135" spans="1:6" x14ac:dyDescent="0.2">
      <c r="A135" s="496">
        <f t="shared" si="9"/>
        <v>49035</v>
      </c>
      <c r="B135" s="470">
        <f t="shared" ref="B135:B198" si="13">F134</f>
        <v>11371.357760687148</v>
      </c>
      <c r="C135" s="472">
        <f>IF(ROUND(Tableau36[[#This Row],[Solde début période]],2)&lt;=0,0,$D$2)</f>
        <v>253.15704841453538</v>
      </c>
      <c r="D135" s="472">
        <f t="shared" si="10"/>
        <v>56.856788803435741</v>
      </c>
      <c r="E135" s="472">
        <f t="shared" si="11"/>
        <v>196.30025961109965</v>
      </c>
      <c r="F135" s="470">
        <f t="shared" si="12"/>
        <v>11175.057501076048</v>
      </c>
    </row>
    <row r="136" spans="1:6" x14ac:dyDescent="0.2">
      <c r="A136" s="496">
        <f t="shared" ref="A136:A199" si="14">EDATE(A135,1)</f>
        <v>49065</v>
      </c>
      <c r="B136" s="470">
        <f t="shared" si="13"/>
        <v>11175.057501076048</v>
      </c>
      <c r="C136" s="472">
        <f>IF(ROUND(Tableau36[[#This Row],[Solde début période]],2)&lt;=0,0,$D$2)</f>
        <v>253.15704841453538</v>
      </c>
      <c r="D136" s="472">
        <f t="shared" si="10"/>
        <v>55.875287505380243</v>
      </c>
      <c r="E136" s="472">
        <f t="shared" si="11"/>
        <v>197.28176090915514</v>
      </c>
      <c r="F136" s="470">
        <f t="shared" si="12"/>
        <v>10977.775740166893</v>
      </c>
    </row>
    <row r="137" spans="1:6" x14ac:dyDescent="0.2">
      <c r="A137" s="496">
        <f t="shared" si="14"/>
        <v>49096</v>
      </c>
      <c r="B137" s="470">
        <f t="shared" si="13"/>
        <v>10977.775740166893</v>
      </c>
      <c r="C137" s="472">
        <f>IF(ROUND(Tableau36[[#This Row],[Solde début période]],2)&lt;=0,0,$D$2)</f>
        <v>253.15704841453538</v>
      </c>
      <c r="D137" s="472">
        <f t="shared" si="10"/>
        <v>54.888878700834468</v>
      </c>
      <c r="E137" s="472">
        <f t="shared" si="11"/>
        <v>198.2681697137009</v>
      </c>
      <c r="F137" s="470">
        <f t="shared" si="12"/>
        <v>10779.507570453192</v>
      </c>
    </row>
    <row r="138" spans="1:6" x14ac:dyDescent="0.2">
      <c r="A138" s="496">
        <f t="shared" si="14"/>
        <v>49126</v>
      </c>
      <c r="B138" s="470">
        <f t="shared" si="13"/>
        <v>10779.507570453192</v>
      </c>
      <c r="C138" s="472">
        <f>IF(ROUND(Tableau36[[#This Row],[Solde début période]],2)&lt;=0,0,$D$2)</f>
        <v>253.15704841453538</v>
      </c>
      <c r="D138" s="472">
        <f t="shared" si="10"/>
        <v>53.897537852265962</v>
      </c>
      <c r="E138" s="472">
        <f t="shared" si="11"/>
        <v>199.25951056226941</v>
      </c>
      <c r="F138" s="470">
        <f t="shared" si="12"/>
        <v>10580.248059890922</v>
      </c>
    </row>
    <row r="139" spans="1:6" x14ac:dyDescent="0.2">
      <c r="A139" s="496">
        <f t="shared" si="14"/>
        <v>49157</v>
      </c>
      <c r="B139" s="470">
        <f t="shared" si="13"/>
        <v>10580.248059890922</v>
      </c>
      <c r="C139" s="472">
        <f>IF(ROUND(Tableau36[[#This Row],[Solde début période]],2)&lt;=0,0,$D$2)</f>
        <v>253.15704841453538</v>
      </c>
      <c r="D139" s="472">
        <f t="shared" si="10"/>
        <v>52.901240299454614</v>
      </c>
      <c r="E139" s="472">
        <f t="shared" si="11"/>
        <v>200.25580811508075</v>
      </c>
      <c r="F139" s="470">
        <f t="shared" si="12"/>
        <v>10379.992251775842</v>
      </c>
    </row>
    <row r="140" spans="1:6" x14ac:dyDescent="0.2">
      <c r="A140" s="496">
        <f t="shared" si="14"/>
        <v>49188</v>
      </c>
      <c r="B140" s="470">
        <f t="shared" si="13"/>
        <v>10379.992251775842</v>
      </c>
      <c r="C140" s="472">
        <f>IF(ROUND(Tableau36[[#This Row],[Solde début période]],2)&lt;=0,0,$D$2)</f>
        <v>253.15704841453538</v>
      </c>
      <c r="D140" s="472">
        <f t="shared" si="10"/>
        <v>51.899961258879216</v>
      </c>
      <c r="E140" s="472">
        <f t="shared" si="11"/>
        <v>201.25708715565617</v>
      </c>
      <c r="F140" s="470">
        <f t="shared" si="12"/>
        <v>10178.735164620186</v>
      </c>
    </row>
    <row r="141" spans="1:6" x14ac:dyDescent="0.2">
      <c r="A141" s="496">
        <f t="shared" si="14"/>
        <v>49218</v>
      </c>
      <c r="B141" s="470">
        <f t="shared" si="13"/>
        <v>10178.735164620186</v>
      </c>
      <c r="C141" s="472">
        <f>IF(ROUND(Tableau36[[#This Row],[Solde début période]],2)&lt;=0,0,$D$2)</f>
        <v>253.15704841453538</v>
      </c>
      <c r="D141" s="472">
        <f t="shared" si="10"/>
        <v>50.893675823100928</v>
      </c>
      <c r="E141" s="472">
        <f t="shared" si="11"/>
        <v>202.26337259143446</v>
      </c>
      <c r="F141" s="470">
        <f t="shared" si="12"/>
        <v>9976.4717920287512</v>
      </c>
    </row>
    <row r="142" spans="1:6" x14ac:dyDescent="0.2">
      <c r="A142" s="496">
        <f t="shared" si="14"/>
        <v>49249</v>
      </c>
      <c r="B142" s="470">
        <f t="shared" si="13"/>
        <v>9976.4717920287512</v>
      </c>
      <c r="C142" s="472">
        <f>IF(ROUND(Tableau36[[#This Row],[Solde début période]],2)&lt;=0,0,$D$2)</f>
        <v>253.15704841453538</v>
      </c>
      <c r="D142" s="472">
        <f t="shared" si="10"/>
        <v>49.882358960143755</v>
      </c>
      <c r="E142" s="472">
        <f t="shared" si="11"/>
        <v>203.27468945439162</v>
      </c>
      <c r="F142" s="470">
        <f t="shared" si="12"/>
        <v>9773.1971025743587</v>
      </c>
    </row>
    <row r="143" spans="1:6" x14ac:dyDescent="0.2">
      <c r="A143" s="496">
        <f t="shared" si="14"/>
        <v>49279</v>
      </c>
      <c r="B143" s="470">
        <f t="shared" si="13"/>
        <v>9773.1971025743587</v>
      </c>
      <c r="C143" s="472">
        <f>IF(ROUND(Tableau36[[#This Row],[Solde début période]],2)&lt;=0,0,$D$2)</f>
        <v>253.15704841453538</v>
      </c>
      <c r="D143" s="472">
        <f t="shared" si="10"/>
        <v>48.865985512871795</v>
      </c>
      <c r="E143" s="472">
        <f t="shared" si="11"/>
        <v>204.29106290166359</v>
      </c>
      <c r="F143" s="470">
        <f t="shared" si="12"/>
        <v>9568.9060396726945</v>
      </c>
    </row>
    <row r="144" spans="1:6" x14ac:dyDescent="0.2">
      <c r="A144" s="496">
        <f t="shared" si="14"/>
        <v>49310</v>
      </c>
      <c r="B144" s="470">
        <f t="shared" si="13"/>
        <v>9568.9060396726945</v>
      </c>
      <c r="C144" s="472">
        <f>IF(ROUND(Tableau36[[#This Row],[Solde début période]],2)&lt;=0,0,$D$2)</f>
        <v>253.15704841453538</v>
      </c>
      <c r="D144" s="472">
        <f t="shared" si="10"/>
        <v>47.844530198363472</v>
      </c>
      <c r="E144" s="472">
        <f t="shared" si="11"/>
        <v>205.3125182161719</v>
      </c>
      <c r="F144" s="470">
        <f t="shared" si="12"/>
        <v>9363.5935214565234</v>
      </c>
    </row>
    <row r="145" spans="1:6" x14ac:dyDescent="0.2">
      <c r="A145" s="496">
        <f t="shared" si="14"/>
        <v>49341</v>
      </c>
      <c r="B145" s="470">
        <f t="shared" si="13"/>
        <v>9363.5935214565234</v>
      </c>
      <c r="C145" s="472">
        <f>IF(ROUND(Tableau36[[#This Row],[Solde début période]],2)&lt;=0,0,$D$2)</f>
        <v>253.15704841453538</v>
      </c>
      <c r="D145" s="472">
        <f t="shared" si="10"/>
        <v>46.817967607282618</v>
      </c>
      <c r="E145" s="472">
        <f t="shared" si="11"/>
        <v>206.33908080725277</v>
      </c>
      <c r="F145" s="470">
        <f t="shared" si="12"/>
        <v>9157.2544406492707</v>
      </c>
    </row>
    <row r="146" spans="1:6" x14ac:dyDescent="0.2">
      <c r="A146" s="496">
        <f t="shared" si="14"/>
        <v>49369</v>
      </c>
      <c r="B146" s="470">
        <f t="shared" si="13"/>
        <v>9157.2544406492707</v>
      </c>
      <c r="C146" s="472">
        <f>IF(ROUND(Tableau36[[#This Row],[Solde début période]],2)&lt;=0,0,$D$2)</f>
        <v>253.15704841453538</v>
      </c>
      <c r="D146" s="472">
        <f t="shared" si="10"/>
        <v>45.786272203246355</v>
      </c>
      <c r="E146" s="472">
        <f t="shared" si="11"/>
        <v>207.37077621128901</v>
      </c>
      <c r="F146" s="470">
        <f t="shared" si="12"/>
        <v>8949.8836644379808</v>
      </c>
    </row>
    <row r="147" spans="1:6" x14ac:dyDescent="0.2">
      <c r="A147" s="496">
        <f t="shared" si="14"/>
        <v>49400</v>
      </c>
      <c r="B147" s="470">
        <f t="shared" si="13"/>
        <v>8949.8836644379808</v>
      </c>
      <c r="C147" s="472">
        <f>IF(ROUND(Tableau36[[#This Row],[Solde début période]],2)&lt;=0,0,$D$2)</f>
        <v>253.15704841453538</v>
      </c>
      <c r="D147" s="472">
        <f t="shared" si="10"/>
        <v>44.749418322189904</v>
      </c>
      <c r="E147" s="472">
        <f t="shared" si="11"/>
        <v>208.40763009234547</v>
      </c>
      <c r="F147" s="470">
        <f t="shared" si="12"/>
        <v>8741.4760343456346</v>
      </c>
    </row>
    <row r="148" spans="1:6" x14ac:dyDescent="0.2">
      <c r="A148" s="496">
        <f t="shared" si="14"/>
        <v>49430</v>
      </c>
      <c r="B148" s="470">
        <f t="shared" si="13"/>
        <v>8741.4760343456346</v>
      </c>
      <c r="C148" s="472">
        <f>IF(ROUND(Tableau36[[#This Row],[Solde début période]],2)&lt;=0,0,$D$2)</f>
        <v>253.15704841453538</v>
      </c>
      <c r="D148" s="472">
        <f t="shared" si="10"/>
        <v>43.707380171728175</v>
      </c>
      <c r="E148" s="472">
        <f t="shared" si="11"/>
        <v>209.44966824280721</v>
      </c>
      <c r="F148" s="470">
        <f t="shared" si="12"/>
        <v>8532.0263661028275</v>
      </c>
    </row>
    <row r="149" spans="1:6" x14ac:dyDescent="0.2">
      <c r="A149" s="496">
        <f t="shared" si="14"/>
        <v>49461</v>
      </c>
      <c r="B149" s="470">
        <f t="shared" si="13"/>
        <v>8532.0263661028275</v>
      </c>
      <c r="C149" s="472">
        <f>IF(ROUND(Tableau36[[#This Row],[Solde début période]],2)&lt;=0,0,$D$2)</f>
        <v>253.15704841453538</v>
      </c>
      <c r="D149" s="472">
        <f t="shared" si="10"/>
        <v>42.660131830514139</v>
      </c>
      <c r="E149" s="472">
        <f t="shared" si="11"/>
        <v>210.49691658402125</v>
      </c>
      <c r="F149" s="470">
        <f t="shared" si="12"/>
        <v>8321.5294495188064</v>
      </c>
    </row>
    <row r="150" spans="1:6" x14ac:dyDescent="0.2">
      <c r="A150" s="496">
        <f t="shared" si="14"/>
        <v>49491</v>
      </c>
      <c r="B150" s="470">
        <f t="shared" si="13"/>
        <v>8321.5294495188064</v>
      </c>
      <c r="C150" s="472">
        <f>IF(ROUND(Tableau36[[#This Row],[Solde début période]],2)&lt;=0,0,$D$2)</f>
        <v>253.15704841453538</v>
      </c>
      <c r="D150" s="472">
        <f t="shared" si="10"/>
        <v>41.607647247594031</v>
      </c>
      <c r="E150" s="472">
        <f t="shared" si="11"/>
        <v>211.54940116694135</v>
      </c>
      <c r="F150" s="470">
        <f t="shared" si="12"/>
        <v>8109.9800483518648</v>
      </c>
    </row>
    <row r="151" spans="1:6" x14ac:dyDescent="0.2">
      <c r="A151" s="496">
        <f t="shared" si="14"/>
        <v>49522</v>
      </c>
      <c r="B151" s="470">
        <f t="shared" si="13"/>
        <v>8109.9800483518648</v>
      </c>
      <c r="C151" s="472">
        <f>IF(ROUND(Tableau36[[#This Row],[Solde début période]],2)&lt;=0,0,$D$2)</f>
        <v>253.15704841453538</v>
      </c>
      <c r="D151" s="472">
        <f t="shared" si="10"/>
        <v>40.549900241759325</v>
      </c>
      <c r="E151" s="472">
        <f t="shared" si="11"/>
        <v>212.60714817277605</v>
      </c>
      <c r="F151" s="470">
        <f t="shared" si="12"/>
        <v>7897.3729001790889</v>
      </c>
    </row>
    <row r="152" spans="1:6" x14ac:dyDescent="0.2">
      <c r="A152" s="496">
        <f t="shared" si="14"/>
        <v>49553</v>
      </c>
      <c r="B152" s="470">
        <f t="shared" si="13"/>
        <v>7897.3729001790889</v>
      </c>
      <c r="C152" s="472">
        <f>IF(ROUND(Tableau36[[#This Row],[Solde début période]],2)&lt;=0,0,$D$2)</f>
        <v>253.15704841453538</v>
      </c>
      <c r="D152" s="472">
        <f t="shared" si="10"/>
        <v>39.486864500895443</v>
      </c>
      <c r="E152" s="472">
        <f t="shared" si="11"/>
        <v>213.67018391363993</v>
      </c>
      <c r="F152" s="470">
        <f t="shared" si="12"/>
        <v>7683.7027162654485</v>
      </c>
    </row>
    <row r="153" spans="1:6" x14ac:dyDescent="0.2">
      <c r="A153" s="496">
        <f t="shared" si="14"/>
        <v>49583</v>
      </c>
      <c r="B153" s="470">
        <f t="shared" si="13"/>
        <v>7683.7027162654485</v>
      </c>
      <c r="C153" s="472">
        <f>IF(ROUND(Tableau36[[#This Row],[Solde début période]],2)&lt;=0,0,$D$2)</f>
        <v>253.15704841453538</v>
      </c>
      <c r="D153" s="472">
        <f t="shared" si="10"/>
        <v>38.418513581327247</v>
      </c>
      <c r="E153" s="472">
        <f t="shared" si="11"/>
        <v>214.73853483320812</v>
      </c>
      <c r="F153" s="470">
        <f t="shared" si="12"/>
        <v>7468.9641814322404</v>
      </c>
    </row>
    <row r="154" spans="1:6" x14ac:dyDescent="0.2">
      <c r="A154" s="496">
        <f t="shared" si="14"/>
        <v>49614</v>
      </c>
      <c r="B154" s="470">
        <f t="shared" si="13"/>
        <v>7468.9641814322404</v>
      </c>
      <c r="C154" s="472">
        <f>IF(ROUND(Tableau36[[#This Row],[Solde début période]],2)&lt;=0,0,$D$2)</f>
        <v>253.15704841453538</v>
      </c>
      <c r="D154" s="472">
        <f t="shared" si="10"/>
        <v>37.3448209071612</v>
      </c>
      <c r="E154" s="472">
        <f t="shared" si="11"/>
        <v>215.81222750737419</v>
      </c>
      <c r="F154" s="470">
        <f t="shared" si="12"/>
        <v>7253.1519539248666</v>
      </c>
    </row>
    <row r="155" spans="1:6" x14ac:dyDescent="0.2">
      <c r="A155" s="496">
        <f t="shared" si="14"/>
        <v>49644</v>
      </c>
      <c r="B155" s="470">
        <f t="shared" si="13"/>
        <v>7253.1519539248666</v>
      </c>
      <c r="C155" s="472">
        <f>IF(ROUND(Tableau36[[#This Row],[Solde début période]],2)&lt;=0,0,$D$2)</f>
        <v>253.15704841453538</v>
      </c>
      <c r="D155" s="472">
        <f t="shared" si="10"/>
        <v>36.265759769624331</v>
      </c>
      <c r="E155" s="472">
        <f t="shared" si="11"/>
        <v>216.89128864491104</v>
      </c>
      <c r="F155" s="470">
        <f t="shared" si="12"/>
        <v>7036.2606652799559</v>
      </c>
    </row>
    <row r="156" spans="1:6" x14ac:dyDescent="0.2">
      <c r="A156" s="496">
        <f t="shared" si="14"/>
        <v>49675</v>
      </c>
      <c r="B156" s="470">
        <f t="shared" si="13"/>
        <v>7036.2606652799559</v>
      </c>
      <c r="C156" s="472">
        <f>IF(ROUND(Tableau36[[#This Row],[Solde début période]],2)&lt;=0,0,$D$2)</f>
        <v>253.15704841453538</v>
      </c>
      <c r="D156" s="472">
        <f t="shared" si="10"/>
        <v>35.181303326399778</v>
      </c>
      <c r="E156" s="472">
        <f t="shared" si="11"/>
        <v>217.9757450881356</v>
      </c>
      <c r="F156" s="470">
        <f t="shared" si="12"/>
        <v>6818.2849201918207</v>
      </c>
    </row>
    <row r="157" spans="1:6" x14ac:dyDescent="0.2">
      <c r="A157" s="496">
        <f t="shared" si="14"/>
        <v>49706</v>
      </c>
      <c r="B157" s="470">
        <f t="shared" si="13"/>
        <v>6818.2849201918207</v>
      </c>
      <c r="C157" s="472">
        <f>IF(ROUND(Tableau36[[#This Row],[Solde début période]],2)&lt;=0,0,$D$2)</f>
        <v>253.15704841453538</v>
      </c>
      <c r="D157" s="472">
        <f t="shared" si="10"/>
        <v>34.091424600959101</v>
      </c>
      <c r="E157" s="472">
        <f t="shared" si="11"/>
        <v>219.06562381357628</v>
      </c>
      <c r="F157" s="470">
        <f t="shared" si="12"/>
        <v>6599.2192963782445</v>
      </c>
    </row>
    <row r="158" spans="1:6" x14ac:dyDescent="0.2">
      <c r="A158" s="496">
        <f t="shared" si="14"/>
        <v>49735</v>
      </c>
      <c r="B158" s="470">
        <f t="shared" si="13"/>
        <v>6599.2192963782445</v>
      </c>
      <c r="C158" s="472">
        <f>IF(ROUND(Tableau36[[#This Row],[Solde début période]],2)&lt;=0,0,$D$2)</f>
        <v>253.15704841453538</v>
      </c>
      <c r="D158" s="472">
        <f t="shared" si="10"/>
        <v>32.996096481891222</v>
      </c>
      <c r="E158" s="472">
        <f t="shared" si="11"/>
        <v>220.16095193264417</v>
      </c>
      <c r="F158" s="470">
        <f t="shared" si="12"/>
        <v>6379.0583444456006</v>
      </c>
    </row>
    <row r="159" spans="1:6" x14ac:dyDescent="0.2">
      <c r="A159" s="496">
        <f t="shared" si="14"/>
        <v>49766</v>
      </c>
      <c r="B159" s="470">
        <f t="shared" si="13"/>
        <v>6379.0583444456006</v>
      </c>
      <c r="C159" s="472">
        <f>IF(ROUND(Tableau36[[#This Row],[Solde début période]],2)&lt;=0,0,$D$2)</f>
        <v>253.15704841453538</v>
      </c>
      <c r="D159" s="472">
        <f t="shared" si="10"/>
        <v>31.895291722228002</v>
      </c>
      <c r="E159" s="472">
        <f t="shared" si="11"/>
        <v>221.26175669230739</v>
      </c>
      <c r="F159" s="470">
        <f t="shared" si="12"/>
        <v>6157.7965877532934</v>
      </c>
    </row>
    <row r="160" spans="1:6" x14ac:dyDescent="0.2">
      <c r="A160" s="496">
        <f t="shared" si="14"/>
        <v>49796</v>
      </c>
      <c r="B160" s="470">
        <f t="shared" si="13"/>
        <v>6157.7965877532934</v>
      </c>
      <c r="C160" s="472">
        <f>IF(ROUND(Tableau36[[#This Row],[Solde début période]],2)&lt;=0,0,$D$2)</f>
        <v>253.15704841453538</v>
      </c>
      <c r="D160" s="472">
        <f t="shared" si="10"/>
        <v>30.788982938766466</v>
      </c>
      <c r="E160" s="472">
        <f t="shared" si="11"/>
        <v>222.3680654757689</v>
      </c>
      <c r="F160" s="470">
        <f t="shared" si="12"/>
        <v>5935.4285222775243</v>
      </c>
    </row>
    <row r="161" spans="1:6" x14ac:dyDescent="0.2">
      <c r="A161" s="496">
        <f t="shared" si="14"/>
        <v>49827</v>
      </c>
      <c r="B161" s="470">
        <f t="shared" si="13"/>
        <v>5935.4285222775243</v>
      </c>
      <c r="C161" s="472">
        <f>IF(ROUND(Tableau36[[#This Row],[Solde début période]],2)&lt;=0,0,$D$2)</f>
        <v>253.15704841453538</v>
      </c>
      <c r="D161" s="472">
        <f t="shared" si="10"/>
        <v>29.677142611387623</v>
      </c>
      <c r="E161" s="472">
        <f t="shared" si="11"/>
        <v>223.47990580314774</v>
      </c>
      <c r="F161" s="470">
        <f t="shared" si="12"/>
        <v>5711.9486164743766</v>
      </c>
    </row>
    <row r="162" spans="1:6" x14ac:dyDescent="0.2">
      <c r="A162" s="496">
        <f t="shared" si="14"/>
        <v>49857</v>
      </c>
      <c r="B162" s="470">
        <f t="shared" si="13"/>
        <v>5711.9486164743766</v>
      </c>
      <c r="C162" s="472">
        <f>IF(ROUND(Tableau36[[#This Row],[Solde début période]],2)&lt;=0,0,$D$2)</f>
        <v>253.15704841453538</v>
      </c>
      <c r="D162" s="472">
        <f t="shared" si="10"/>
        <v>28.559743082371885</v>
      </c>
      <c r="E162" s="472">
        <f t="shared" si="11"/>
        <v>224.5973053321635</v>
      </c>
      <c r="F162" s="470">
        <f t="shared" si="12"/>
        <v>5487.3513111422135</v>
      </c>
    </row>
    <row r="163" spans="1:6" x14ac:dyDescent="0.2">
      <c r="A163" s="496">
        <f t="shared" si="14"/>
        <v>49888</v>
      </c>
      <c r="B163" s="470">
        <f t="shared" si="13"/>
        <v>5487.3513111422135</v>
      </c>
      <c r="C163" s="472">
        <f>IF(ROUND(Tableau36[[#This Row],[Solde début période]],2)&lt;=0,0,$D$2)</f>
        <v>253.15704841453538</v>
      </c>
      <c r="D163" s="472">
        <f t="shared" si="10"/>
        <v>27.436756555711067</v>
      </c>
      <c r="E163" s="472">
        <f t="shared" si="11"/>
        <v>225.72029185882431</v>
      </c>
      <c r="F163" s="470">
        <f t="shared" si="12"/>
        <v>5261.6310192833889</v>
      </c>
    </row>
    <row r="164" spans="1:6" x14ac:dyDescent="0.2">
      <c r="A164" s="496">
        <f t="shared" si="14"/>
        <v>49919</v>
      </c>
      <c r="B164" s="470">
        <f t="shared" si="13"/>
        <v>5261.6310192833889</v>
      </c>
      <c r="C164" s="472">
        <f>IF(ROUND(Tableau36[[#This Row],[Solde début période]],2)&lt;=0,0,$D$2)</f>
        <v>253.15704841453538</v>
      </c>
      <c r="D164" s="472">
        <f t="shared" si="10"/>
        <v>26.308155096416947</v>
      </c>
      <c r="E164" s="472">
        <f t="shared" si="11"/>
        <v>226.84889331811843</v>
      </c>
      <c r="F164" s="470">
        <f t="shared" si="12"/>
        <v>5034.7821259652701</v>
      </c>
    </row>
    <row r="165" spans="1:6" x14ac:dyDescent="0.2">
      <c r="A165" s="496">
        <f t="shared" si="14"/>
        <v>49949</v>
      </c>
      <c r="B165" s="470">
        <f t="shared" si="13"/>
        <v>5034.7821259652701</v>
      </c>
      <c r="C165" s="472">
        <f>IF(ROUND(Tableau36[[#This Row],[Solde début période]],2)&lt;=0,0,$D$2)</f>
        <v>253.15704841453538</v>
      </c>
      <c r="D165" s="472">
        <f t="shared" si="10"/>
        <v>25.173910629826352</v>
      </c>
      <c r="E165" s="472">
        <f t="shared" si="11"/>
        <v>227.98313778470902</v>
      </c>
      <c r="F165" s="470">
        <f t="shared" si="12"/>
        <v>4806.7989881805606</v>
      </c>
    </row>
    <row r="166" spans="1:6" x14ac:dyDescent="0.2">
      <c r="A166" s="496">
        <f t="shared" si="14"/>
        <v>49980</v>
      </c>
      <c r="B166" s="470">
        <f t="shared" si="13"/>
        <v>4806.7989881805606</v>
      </c>
      <c r="C166" s="472">
        <f>IF(ROUND(Tableau36[[#This Row],[Solde début période]],2)&lt;=0,0,$D$2)</f>
        <v>253.15704841453538</v>
      </c>
      <c r="D166" s="472">
        <f t="shared" si="10"/>
        <v>24.033994940902804</v>
      </c>
      <c r="E166" s="472">
        <f t="shared" si="11"/>
        <v>229.12305347363258</v>
      </c>
      <c r="F166" s="470">
        <f t="shared" si="12"/>
        <v>4577.6759347069283</v>
      </c>
    </row>
    <row r="167" spans="1:6" x14ac:dyDescent="0.2">
      <c r="A167" s="496">
        <f t="shared" si="14"/>
        <v>50010</v>
      </c>
      <c r="B167" s="470">
        <f t="shared" si="13"/>
        <v>4577.6759347069283</v>
      </c>
      <c r="C167" s="472">
        <f>IF(ROUND(Tableau36[[#This Row],[Solde début période]],2)&lt;=0,0,$D$2)</f>
        <v>253.15704841453538</v>
      </c>
      <c r="D167" s="472">
        <f t="shared" si="10"/>
        <v>22.88837967353464</v>
      </c>
      <c r="E167" s="472">
        <f t="shared" si="11"/>
        <v>230.26866874100074</v>
      </c>
      <c r="F167" s="470">
        <f t="shared" si="12"/>
        <v>4347.4072659659278</v>
      </c>
    </row>
    <row r="168" spans="1:6" x14ac:dyDescent="0.2">
      <c r="A168" s="496">
        <f t="shared" si="14"/>
        <v>50041</v>
      </c>
      <c r="B168" s="470">
        <f t="shared" si="13"/>
        <v>4347.4072659659278</v>
      </c>
      <c r="C168" s="472">
        <f>IF(ROUND(Tableau36[[#This Row],[Solde début période]],2)&lt;=0,0,$D$2)</f>
        <v>253.15704841453538</v>
      </c>
      <c r="D168" s="472">
        <f t="shared" si="10"/>
        <v>21.737036329829639</v>
      </c>
      <c r="E168" s="472">
        <f t="shared" si="11"/>
        <v>231.42001208470575</v>
      </c>
      <c r="F168" s="470">
        <f t="shared" si="12"/>
        <v>4115.9872538812224</v>
      </c>
    </row>
    <row r="169" spans="1:6" x14ac:dyDescent="0.2">
      <c r="A169" s="496">
        <f t="shared" si="14"/>
        <v>50072</v>
      </c>
      <c r="B169" s="470">
        <f t="shared" si="13"/>
        <v>4115.9872538812224</v>
      </c>
      <c r="C169" s="472">
        <f>IF(ROUND(Tableau36[[#This Row],[Solde début période]],2)&lt;=0,0,$D$2)</f>
        <v>253.15704841453538</v>
      </c>
      <c r="D169" s="472">
        <f t="shared" si="10"/>
        <v>20.579936269406112</v>
      </c>
      <c r="E169" s="472">
        <f t="shared" si="11"/>
        <v>232.57711214512926</v>
      </c>
      <c r="F169" s="470">
        <f t="shared" si="12"/>
        <v>3883.410141736093</v>
      </c>
    </row>
    <row r="170" spans="1:6" x14ac:dyDescent="0.2">
      <c r="A170" s="496">
        <f t="shared" si="14"/>
        <v>50100</v>
      </c>
      <c r="B170" s="470">
        <f t="shared" si="13"/>
        <v>3883.410141736093</v>
      </c>
      <c r="C170" s="472">
        <f>IF(ROUND(Tableau36[[#This Row],[Solde début période]],2)&lt;=0,0,$D$2)</f>
        <v>253.15704841453538</v>
      </c>
      <c r="D170" s="472">
        <f t="shared" si="10"/>
        <v>19.417050708680467</v>
      </c>
      <c r="E170" s="472">
        <f t="shared" si="11"/>
        <v>233.7399977058549</v>
      </c>
      <c r="F170" s="470">
        <f t="shared" si="12"/>
        <v>3649.6701440302381</v>
      </c>
    </row>
    <row r="171" spans="1:6" x14ac:dyDescent="0.2">
      <c r="A171" s="496">
        <f t="shared" si="14"/>
        <v>50131</v>
      </c>
      <c r="B171" s="470">
        <f t="shared" si="13"/>
        <v>3649.6701440302381</v>
      </c>
      <c r="C171" s="472">
        <f>IF(ROUND(Tableau36[[#This Row],[Solde début période]],2)&lt;=0,0,$D$2)</f>
        <v>253.15704841453538</v>
      </c>
      <c r="D171" s="472">
        <f t="shared" si="10"/>
        <v>18.248350720151191</v>
      </c>
      <c r="E171" s="472">
        <f t="shared" si="11"/>
        <v>234.90869769438419</v>
      </c>
      <c r="F171" s="470">
        <f t="shared" si="12"/>
        <v>3414.7614463358541</v>
      </c>
    </row>
    <row r="172" spans="1:6" x14ac:dyDescent="0.2">
      <c r="A172" s="496">
        <f t="shared" si="14"/>
        <v>50161</v>
      </c>
      <c r="B172" s="470">
        <f t="shared" si="13"/>
        <v>3414.7614463358541</v>
      </c>
      <c r="C172" s="472">
        <f>IF(ROUND(Tableau36[[#This Row],[Solde début période]],2)&lt;=0,0,$D$2)</f>
        <v>253.15704841453538</v>
      </c>
      <c r="D172" s="472">
        <f t="shared" si="10"/>
        <v>17.073807231679272</v>
      </c>
      <c r="E172" s="472">
        <f t="shared" si="11"/>
        <v>236.08324118285611</v>
      </c>
      <c r="F172" s="470">
        <f t="shared" si="12"/>
        <v>3178.6782051529981</v>
      </c>
    </row>
    <row r="173" spans="1:6" x14ac:dyDescent="0.2">
      <c r="A173" s="496">
        <f t="shared" si="14"/>
        <v>50192</v>
      </c>
      <c r="B173" s="470">
        <f t="shared" si="13"/>
        <v>3178.6782051529981</v>
      </c>
      <c r="C173" s="472">
        <f>IF(ROUND(Tableau36[[#This Row],[Solde début période]],2)&lt;=0,0,$D$2)</f>
        <v>253.15704841453538</v>
      </c>
      <c r="D173" s="472">
        <f t="shared" si="10"/>
        <v>15.893391025764991</v>
      </c>
      <c r="E173" s="472">
        <f t="shared" si="11"/>
        <v>237.26365738877038</v>
      </c>
      <c r="F173" s="470">
        <f t="shared" si="12"/>
        <v>2941.4145477642278</v>
      </c>
    </row>
    <row r="174" spans="1:6" x14ac:dyDescent="0.2">
      <c r="A174" s="496">
        <f t="shared" si="14"/>
        <v>50222</v>
      </c>
      <c r="B174" s="470">
        <f t="shared" si="13"/>
        <v>2941.4145477642278</v>
      </c>
      <c r="C174" s="472">
        <f>IF(ROUND(Tableau36[[#This Row],[Solde début période]],2)&lt;=0,0,$D$2)</f>
        <v>253.15704841453538</v>
      </c>
      <c r="D174" s="472">
        <f t="shared" si="10"/>
        <v>14.70707273882114</v>
      </c>
      <c r="E174" s="472">
        <f t="shared" si="11"/>
        <v>238.44997567571426</v>
      </c>
      <c r="F174" s="470">
        <f t="shared" si="12"/>
        <v>2702.9645720885137</v>
      </c>
    </row>
    <row r="175" spans="1:6" x14ac:dyDescent="0.2">
      <c r="A175" s="496">
        <f t="shared" si="14"/>
        <v>50253</v>
      </c>
      <c r="B175" s="470">
        <f t="shared" si="13"/>
        <v>2702.9645720885137</v>
      </c>
      <c r="C175" s="472">
        <f>IF(ROUND(Tableau36[[#This Row],[Solde début période]],2)&lt;=0,0,$D$2)</f>
        <v>253.15704841453538</v>
      </c>
      <c r="D175" s="472">
        <f t="shared" si="10"/>
        <v>13.514822860442569</v>
      </c>
      <c r="E175" s="472">
        <f t="shared" si="11"/>
        <v>239.64222555409282</v>
      </c>
      <c r="F175" s="470">
        <f t="shared" si="12"/>
        <v>2463.3223465344208</v>
      </c>
    </row>
    <row r="176" spans="1:6" x14ac:dyDescent="0.2">
      <c r="A176" s="496">
        <f t="shared" si="14"/>
        <v>50284</v>
      </c>
      <c r="B176" s="470">
        <f t="shared" si="13"/>
        <v>2463.3223465344208</v>
      </c>
      <c r="C176" s="472">
        <f>IF(ROUND(Tableau36[[#This Row],[Solde début période]],2)&lt;=0,0,$D$2)</f>
        <v>253.15704841453538</v>
      </c>
      <c r="D176" s="472">
        <f t="shared" si="10"/>
        <v>12.316611732672104</v>
      </c>
      <c r="E176" s="472">
        <f t="shared" si="11"/>
        <v>240.84043668186328</v>
      </c>
      <c r="F176" s="470">
        <f t="shared" si="12"/>
        <v>2222.4819098525577</v>
      </c>
    </row>
    <row r="177" spans="1:6" x14ac:dyDescent="0.2">
      <c r="A177" s="496">
        <f t="shared" si="14"/>
        <v>50314</v>
      </c>
      <c r="B177" s="470">
        <f t="shared" si="13"/>
        <v>2222.4819098525577</v>
      </c>
      <c r="C177" s="472">
        <f>IF(ROUND(Tableau36[[#This Row],[Solde début période]],2)&lt;=0,0,$D$2)</f>
        <v>253.15704841453538</v>
      </c>
      <c r="D177" s="472">
        <f t="shared" si="10"/>
        <v>11.112409549262789</v>
      </c>
      <c r="E177" s="472">
        <f t="shared" si="11"/>
        <v>242.04463886527259</v>
      </c>
      <c r="F177" s="470">
        <f t="shared" si="12"/>
        <v>1980.437270987285</v>
      </c>
    </row>
    <row r="178" spans="1:6" x14ac:dyDescent="0.2">
      <c r="A178" s="496">
        <f t="shared" si="14"/>
        <v>50345</v>
      </c>
      <c r="B178" s="470">
        <f t="shared" si="13"/>
        <v>1980.437270987285</v>
      </c>
      <c r="C178" s="472">
        <f>IF(ROUND(Tableau36[[#This Row],[Solde début période]],2)&lt;=0,0,$D$2)</f>
        <v>253.15704841453538</v>
      </c>
      <c r="D178" s="472">
        <f t="shared" si="10"/>
        <v>9.9021863549364255</v>
      </c>
      <c r="E178" s="472">
        <f t="shared" si="11"/>
        <v>243.25486205959896</v>
      </c>
      <c r="F178" s="470">
        <f t="shared" si="12"/>
        <v>1737.1824089276861</v>
      </c>
    </row>
    <row r="179" spans="1:6" x14ac:dyDescent="0.2">
      <c r="A179" s="496">
        <f t="shared" si="14"/>
        <v>50375</v>
      </c>
      <c r="B179" s="470">
        <f t="shared" si="13"/>
        <v>1737.1824089276861</v>
      </c>
      <c r="C179" s="472">
        <f>IF(ROUND(Tableau36[[#This Row],[Solde début période]],2)&lt;=0,0,$D$2)</f>
        <v>253.15704841453538</v>
      </c>
      <c r="D179" s="472">
        <f t="shared" si="10"/>
        <v>8.6859120446384299</v>
      </c>
      <c r="E179" s="472">
        <f t="shared" si="11"/>
        <v>244.47113636989695</v>
      </c>
      <c r="F179" s="470">
        <f t="shared" si="12"/>
        <v>1492.711272557789</v>
      </c>
    </row>
    <row r="180" spans="1:6" x14ac:dyDescent="0.2">
      <c r="A180" s="496">
        <f t="shared" si="14"/>
        <v>50406</v>
      </c>
      <c r="B180" s="470">
        <f t="shared" si="13"/>
        <v>1492.711272557789</v>
      </c>
      <c r="C180" s="472">
        <f>IF(ROUND(Tableau36[[#This Row],[Solde début période]],2)&lt;=0,0,$D$2)</f>
        <v>253.15704841453538</v>
      </c>
      <c r="D180" s="472">
        <f t="shared" si="10"/>
        <v>7.4635563627889452</v>
      </c>
      <c r="E180" s="472">
        <f t="shared" si="11"/>
        <v>245.69349205174643</v>
      </c>
      <c r="F180" s="470">
        <f t="shared" si="12"/>
        <v>1247.0177805060425</v>
      </c>
    </row>
    <row r="181" spans="1:6" x14ac:dyDescent="0.2">
      <c r="A181" s="496">
        <f t="shared" si="14"/>
        <v>50437</v>
      </c>
      <c r="B181" s="470">
        <f t="shared" si="13"/>
        <v>1247.0177805060425</v>
      </c>
      <c r="C181" s="472">
        <f>IF(ROUND(Tableau36[[#This Row],[Solde début période]],2)&lt;=0,0,$D$2)</f>
        <v>253.15704841453538</v>
      </c>
      <c r="D181" s="472">
        <f t="shared" si="10"/>
        <v>6.2350889025302125</v>
      </c>
      <c r="E181" s="472">
        <f t="shared" si="11"/>
        <v>246.92195951200517</v>
      </c>
      <c r="F181" s="470">
        <f t="shared" si="12"/>
        <v>1000.0958209940374</v>
      </c>
    </row>
    <row r="182" spans="1:6" x14ac:dyDescent="0.2">
      <c r="A182" s="496">
        <f t="shared" si="14"/>
        <v>50465</v>
      </c>
      <c r="B182" s="470">
        <f t="shared" si="13"/>
        <v>1000.0958209940374</v>
      </c>
      <c r="C182" s="472">
        <f>IF(ROUND(Tableau36[[#This Row],[Solde début période]],2)&lt;=0,0,$D$2)</f>
        <v>253.15704841453538</v>
      </c>
      <c r="D182" s="472">
        <f t="shared" si="10"/>
        <v>5.0004791049701867</v>
      </c>
      <c r="E182" s="472">
        <f t="shared" si="11"/>
        <v>248.15656930956519</v>
      </c>
      <c r="F182" s="470">
        <f t="shared" si="12"/>
        <v>751.9392516844722</v>
      </c>
    </row>
    <row r="183" spans="1:6" x14ac:dyDescent="0.2">
      <c r="A183" s="496">
        <f t="shared" si="14"/>
        <v>50496</v>
      </c>
      <c r="B183" s="470">
        <f t="shared" si="13"/>
        <v>751.9392516844722</v>
      </c>
      <c r="C183" s="472">
        <f>IF(ROUND(Tableau36[[#This Row],[Solde début période]],2)&lt;=0,0,$D$2)</f>
        <v>253.15704841453538</v>
      </c>
      <c r="D183" s="472">
        <f t="shared" si="10"/>
        <v>3.7596962584223612</v>
      </c>
      <c r="E183" s="472">
        <f t="shared" si="11"/>
        <v>249.39735215611302</v>
      </c>
      <c r="F183" s="470">
        <f t="shared" si="12"/>
        <v>502.54189952835918</v>
      </c>
    </row>
    <row r="184" spans="1:6" x14ac:dyDescent="0.2">
      <c r="A184" s="496">
        <f t="shared" si="14"/>
        <v>50526</v>
      </c>
      <c r="B184" s="470">
        <f t="shared" si="13"/>
        <v>502.54189952835918</v>
      </c>
      <c r="C184" s="472">
        <f>IF(ROUND(Tableau36[[#This Row],[Solde début période]],2)&lt;=0,0,$D$2)</f>
        <v>253.15704841453538</v>
      </c>
      <c r="D184" s="472">
        <f t="shared" si="10"/>
        <v>2.5127094976417959</v>
      </c>
      <c r="E184" s="472">
        <f t="shared" si="11"/>
        <v>250.64433891689359</v>
      </c>
      <c r="F184" s="470">
        <f t="shared" si="12"/>
        <v>251.89756061146559</v>
      </c>
    </row>
    <row r="185" spans="1:6" x14ac:dyDescent="0.2">
      <c r="A185" s="496">
        <f t="shared" si="14"/>
        <v>50557</v>
      </c>
      <c r="B185" s="470">
        <f t="shared" si="13"/>
        <v>251.89756061146559</v>
      </c>
      <c r="C185" s="472">
        <f>IF(ROUND(Tableau36[[#This Row],[Solde début période]],2)&lt;=0,0,$D$2)</f>
        <v>253.15704841453538</v>
      </c>
      <c r="D185" s="472">
        <f t="shared" si="10"/>
        <v>1.259487803057328</v>
      </c>
      <c r="E185" s="472">
        <f t="shared" si="11"/>
        <v>251.89756061147804</v>
      </c>
      <c r="F185" s="470">
        <f t="shared" si="12"/>
        <v>-1.2448708730516955E-11</v>
      </c>
    </row>
    <row r="186" spans="1:6" x14ac:dyDescent="0.2">
      <c r="A186" s="496">
        <f t="shared" si="14"/>
        <v>50587</v>
      </c>
      <c r="B186" s="470">
        <f t="shared" si="13"/>
        <v>-1.2448708730516955E-11</v>
      </c>
      <c r="C186" s="472">
        <f>IF(ROUND(Tableau36[[#This Row],[Solde début période]],2)&lt;=0,0,$D$2)</f>
        <v>0</v>
      </c>
      <c r="D186" s="472">
        <f t="shared" si="10"/>
        <v>-6.2243543652584775E-14</v>
      </c>
      <c r="E186" s="472">
        <f t="shared" si="11"/>
        <v>6.2243543652584775E-14</v>
      </c>
      <c r="F186" s="470">
        <f t="shared" si="12"/>
        <v>-1.251095227416954E-11</v>
      </c>
    </row>
    <row r="187" spans="1:6" x14ac:dyDescent="0.2">
      <c r="A187" s="496">
        <f t="shared" si="14"/>
        <v>50618</v>
      </c>
      <c r="B187" s="470">
        <f t="shared" si="13"/>
        <v>-1.251095227416954E-11</v>
      </c>
      <c r="C187" s="472">
        <f>IF(ROUND(Tableau36[[#This Row],[Solde début période]],2)&lt;=0,0,$D$2)</f>
        <v>0</v>
      </c>
      <c r="D187" s="472">
        <f t="shared" si="10"/>
        <v>-6.2554761370847705E-14</v>
      </c>
      <c r="E187" s="472">
        <f t="shared" si="11"/>
        <v>6.2554761370847705E-14</v>
      </c>
      <c r="F187" s="470">
        <f t="shared" si="12"/>
        <v>-1.2573507035540387E-11</v>
      </c>
    </row>
    <row r="188" spans="1:6" x14ac:dyDescent="0.2">
      <c r="A188" s="496">
        <f t="shared" si="14"/>
        <v>50649</v>
      </c>
      <c r="B188" s="470">
        <f t="shared" si="13"/>
        <v>-1.2573507035540387E-11</v>
      </c>
      <c r="C188" s="472">
        <f>IF(ROUND(Tableau36[[#This Row],[Solde début période]],2)&lt;=0,0,$D$2)</f>
        <v>0</v>
      </c>
      <c r="D188" s="472">
        <f t="shared" si="10"/>
        <v>-6.2867535177701935E-14</v>
      </c>
      <c r="E188" s="472">
        <f t="shared" si="11"/>
        <v>6.2867535177701935E-14</v>
      </c>
      <c r="F188" s="470">
        <f t="shared" si="12"/>
        <v>-1.2636374570718089E-11</v>
      </c>
    </row>
    <row r="189" spans="1:6" x14ac:dyDescent="0.2">
      <c r="A189" s="496">
        <f t="shared" si="14"/>
        <v>50679</v>
      </c>
      <c r="B189" s="470">
        <f t="shared" si="13"/>
        <v>-1.2636374570718089E-11</v>
      </c>
      <c r="C189" s="472">
        <f>IF(ROUND(Tableau36[[#This Row],[Solde début période]],2)&lt;=0,0,$D$2)</f>
        <v>0</v>
      </c>
      <c r="D189" s="472">
        <f t="shared" si="10"/>
        <v>-6.3181872853590444E-14</v>
      </c>
      <c r="E189" s="472">
        <f t="shared" si="11"/>
        <v>6.3181872853590444E-14</v>
      </c>
      <c r="F189" s="470">
        <f t="shared" si="12"/>
        <v>-1.269955644357168E-11</v>
      </c>
    </row>
    <row r="190" spans="1:6" x14ac:dyDescent="0.2">
      <c r="A190" s="496">
        <f t="shared" si="14"/>
        <v>50710</v>
      </c>
      <c r="B190" s="470">
        <f t="shared" si="13"/>
        <v>-1.269955644357168E-11</v>
      </c>
      <c r="C190" s="472">
        <f>IF(ROUND(Tableau36[[#This Row],[Solde début période]],2)&lt;=0,0,$D$2)</f>
        <v>0</v>
      </c>
      <c r="D190" s="472">
        <f t="shared" si="10"/>
        <v>-6.3497782217858406E-14</v>
      </c>
      <c r="E190" s="472">
        <f t="shared" si="11"/>
        <v>6.3497782217858406E-14</v>
      </c>
      <c r="F190" s="470">
        <f t="shared" si="12"/>
        <v>-1.2763054225789538E-11</v>
      </c>
    </row>
    <row r="191" spans="1:6" x14ac:dyDescent="0.2">
      <c r="A191" s="496">
        <f t="shared" si="14"/>
        <v>50740</v>
      </c>
      <c r="B191" s="470">
        <f t="shared" si="13"/>
        <v>-1.2763054225789538E-11</v>
      </c>
      <c r="C191" s="472">
        <f>IF(ROUND(Tableau36[[#This Row],[Solde début période]],2)&lt;=0,0,$D$2)</f>
        <v>0</v>
      </c>
      <c r="D191" s="472">
        <f t="shared" si="10"/>
        <v>-6.3815271128947695E-14</v>
      </c>
      <c r="E191" s="472">
        <f t="shared" si="11"/>
        <v>6.3815271128947695E-14</v>
      </c>
      <c r="F191" s="470">
        <f t="shared" si="12"/>
        <v>-1.2826869496918486E-11</v>
      </c>
    </row>
    <row r="192" spans="1:6" x14ac:dyDescent="0.2">
      <c r="A192" s="496">
        <f t="shared" si="14"/>
        <v>50771</v>
      </c>
      <c r="B192" s="470">
        <f t="shared" si="13"/>
        <v>-1.2826869496918486E-11</v>
      </c>
      <c r="C192" s="472">
        <f>IF(ROUND(Tableau36[[#This Row],[Solde début période]],2)&lt;=0,0,$D$2)</f>
        <v>0</v>
      </c>
      <c r="D192" s="472">
        <f t="shared" si="10"/>
        <v>-6.4134347484592427E-14</v>
      </c>
      <c r="E192" s="472">
        <f t="shared" si="11"/>
        <v>6.4134347484592427E-14</v>
      </c>
      <c r="F192" s="470">
        <f t="shared" si="12"/>
        <v>-1.2891003844403078E-11</v>
      </c>
    </row>
    <row r="193" spans="1:6" x14ac:dyDescent="0.2">
      <c r="A193" s="496">
        <f t="shared" si="14"/>
        <v>50802</v>
      </c>
      <c r="B193" s="470">
        <f t="shared" si="13"/>
        <v>-1.2891003844403078E-11</v>
      </c>
      <c r="C193" s="472">
        <f>IF(ROUND(Tableau36[[#This Row],[Solde début période]],2)&lt;=0,0,$D$2)</f>
        <v>0</v>
      </c>
      <c r="D193" s="472">
        <f t="shared" si="10"/>
        <v>-6.4455019222015389E-14</v>
      </c>
      <c r="E193" s="472">
        <f t="shared" si="11"/>
        <v>6.4455019222015389E-14</v>
      </c>
      <c r="F193" s="470">
        <f t="shared" si="12"/>
        <v>-1.2955458863625093E-11</v>
      </c>
    </row>
    <row r="194" spans="1:6" x14ac:dyDescent="0.2">
      <c r="A194" s="496">
        <f t="shared" si="14"/>
        <v>50830</v>
      </c>
      <c r="B194" s="470">
        <f t="shared" si="13"/>
        <v>-1.2955458863625093E-11</v>
      </c>
      <c r="C194" s="472">
        <f>IF(ROUND(Tableau36[[#This Row],[Solde début période]],2)&lt;=0,0,$D$2)</f>
        <v>0</v>
      </c>
      <c r="D194" s="472">
        <f t="shared" si="10"/>
        <v>-6.4777294318125462E-14</v>
      </c>
      <c r="E194" s="472">
        <f t="shared" si="11"/>
        <v>6.4777294318125462E-14</v>
      </c>
      <c r="F194" s="470">
        <f t="shared" si="12"/>
        <v>-1.3020236157943218E-11</v>
      </c>
    </row>
    <row r="195" spans="1:6" x14ac:dyDescent="0.2">
      <c r="A195" s="496">
        <f t="shared" si="14"/>
        <v>50861</v>
      </c>
      <c r="B195" s="470">
        <f t="shared" si="13"/>
        <v>-1.3020236157943218E-11</v>
      </c>
      <c r="C195" s="472">
        <f>IF(ROUND(Tableau36[[#This Row],[Solde début période]],2)&lt;=0,0,$D$2)</f>
        <v>0</v>
      </c>
      <c r="D195" s="472">
        <f t="shared" si="10"/>
        <v>-6.5101180789716091E-14</v>
      </c>
      <c r="E195" s="472">
        <f t="shared" si="11"/>
        <v>6.5101180789716091E-14</v>
      </c>
      <c r="F195" s="470">
        <f t="shared" si="12"/>
        <v>-1.3085337338732934E-11</v>
      </c>
    </row>
    <row r="196" spans="1:6" x14ac:dyDescent="0.2">
      <c r="A196" s="496">
        <f t="shared" si="14"/>
        <v>50891</v>
      </c>
      <c r="B196" s="470">
        <f t="shared" si="13"/>
        <v>-1.3085337338732934E-11</v>
      </c>
      <c r="C196" s="472">
        <f>IF(ROUND(Tableau36[[#This Row],[Solde début période]],2)&lt;=0,0,$D$2)</f>
        <v>0</v>
      </c>
      <c r="D196" s="472">
        <f t="shared" si="10"/>
        <v>-6.5426686693664676E-14</v>
      </c>
      <c r="E196" s="472">
        <f t="shared" si="11"/>
        <v>6.5426686693664676E-14</v>
      </c>
      <c r="F196" s="470">
        <f t="shared" si="12"/>
        <v>-1.3150764025426599E-11</v>
      </c>
    </row>
    <row r="197" spans="1:6" x14ac:dyDescent="0.2">
      <c r="A197" s="496">
        <f t="shared" si="14"/>
        <v>50922</v>
      </c>
      <c r="B197" s="470">
        <f t="shared" si="13"/>
        <v>-1.3150764025426599E-11</v>
      </c>
      <c r="C197" s="472">
        <f>IF(ROUND(Tableau36[[#This Row],[Solde début période]],2)&lt;=0,0,$D$2)</f>
        <v>0</v>
      </c>
      <c r="D197" s="472">
        <f t="shared" si="10"/>
        <v>-6.5753820127133004E-14</v>
      </c>
      <c r="E197" s="472">
        <f t="shared" si="11"/>
        <v>6.5753820127133004E-14</v>
      </c>
      <c r="F197" s="470">
        <f t="shared" si="12"/>
        <v>-1.3216517845553732E-11</v>
      </c>
    </row>
    <row r="198" spans="1:6" x14ac:dyDescent="0.2">
      <c r="A198" s="496">
        <f t="shared" si="14"/>
        <v>50952</v>
      </c>
      <c r="B198" s="470">
        <f t="shared" si="13"/>
        <v>-1.3216517845553732E-11</v>
      </c>
      <c r="C198" s="472">
        <f>IF(ROUND(Tableau36[[#This Row],[Solde début période]],2)&lt;=0,0,$D$2)</f>
        <v>0</v>
      </c>
      <c r="D198" s="472">
        <f t="shared" ref="D198:D261" si="15">B198*($B$2/12)</f>
        <v>-6.6082589227768657E-14</v>
      </c>
      <c r="E198" s="472">
        <f t="shared" ref="E198:E261" si="16">C198-D198</f>
        <v>6.6082589227768657E-14</v>
      </c>
      <c r="F198" s="470">
        <f t="shared" ref="F198:F261" si="17">B198-E198</f>
        <v>-1.3282600434781501E-11</v>
      </c>
    </row>
    <row r="199" spans="1:6" x14ac:dyDescent="0.2">
      <c r="A199" s="496">
        <f t="shared" si="14"/>
        <v>50983</v>
      </c>
      <c r="B199" s="470">
        <f t="shared" ref="B199:B262" si="18">F198</f>
        <v>-1.3282600434781501E-11</v>
      </c>
      <c r="C199" s="472">
        <f>IF(ROUND(Tableau36[[#This Row],[Solde début période]],2)&lt;=0,0,$D$2)</f>
        <v>0</v>
      </c>
      <c r="D199" s="472">
        <f t="shared" si="15"/>
        <v>-6.6413002173907511E-14</v>
      </c>
      <c r="E199" s="472">
        <f t="shared" si="16"/>
        <v>6.6413002173907511E-14</v>
      </c>
      <c r="F199" s="470">
        <f t="shared" si="17"/>
        <v>-1.3349013436955409E-11</v>
      </c>
    </row>
    <row r="200" spans="1:6" x14ac:dyDescent="0.2">
      <c r="A200" s="496">
        <f t="shared" ref="A200:A263" si="19">EDATE(A199,1)</f>
        <v>51014</v>
      </c>
      <c r="B200" s="470">
        <f t="shared" si="18"/>
        <v>-1.3349013436955409E-11</v>
      </c>
      <c r="C200" s="472">
        <f>IF(ROUND(Tableau36[[#This Row],[Solde début période]],2)&lt;=0,0,$D$2)</f>
        <v>0</v>
      </c>
      <c r="D200" s="472">
        <f t="shared" si="15"/>
        <v>-6.674506718477704E-14</v>
      </c>
      <c r="E200" s="472">
        <f t="shared" si="16"/>
        <v>6.674506718477704E-14</v>
      </c>
      <c r="F200" s="470">
        <f t="shared" si="17"/>
        <v>-1.3415758504140186E-11</v>
      </c>
    </row>
    <row r="201" spans="1:6" x14ac:dyDescent="0.2">
      <c r="A201" s="496">
        <f t="shared" si="19"/>
        <v>51044</v>
      </c>
      <c r="B201" s="470">
        <f t="shared" si="18"/>
        <v>-1.3415758504140186E-11</v>
      </c>
      <c r="C201" s="472">
        <f>IF(ROUND(Tableau36[[#This Row],[Solde début période]],2)&lt;=0,0,$D$2)</f>
        <v>0</v>
      </c>
      <c r="D201" s="472">
        <f t="shared" si="15"/>
        <v>-6.7078792520700924E-14</v>
      </c>
      <c r="E201" s="472">
        <f t="shared" si="16"/>
        <v>6.7078792520700924E-14</v>
      </c>
      <c r="F201" s="470">
        <f t="shared" si="17"/>
        <v>-1.3482837296660886E-11</v>
      </c>
    </row>
    <row r="202" spans="1:6" x14ac:dyDescent="0.2">
      <c r="A202" s="496">
        <f t="shared" si="19"/>
        <v>51075</v>
      </c>
      <c r="B202" s="470">
        <f t="shared" si="18"/>
        <v>-1.3482837296660886E-11</v>
      </c>
      <c r="C202" s="472">
        <f>IF(ROUND(Tableau36[[#This Row],[Solde début période]],2)&lt;=0,0,$D$2)</f>
        <v>0</v>
      </c>
      <c r="D202" s="472">
        <f t="shared" si="15"/>
        <v>-6.7414186483304435E-14</v>
      </c>
      <c r="E202" s="472">
        <f t="shared" si="16"/>
        <v>6.7414186483304435E-14</v>
      </c>
      <c r="F202" s="470">
        <f t="shared" si="17"/>
        <v>-1.3550251483144191E-11</v>
      </c>
    </row>
    <row r="203" spans="1:6" x14ac:dyDescent="0.2">
      <c r="A203" s="496">
        <f t="shared" si="19"/>
        <v>51105</v>
      </c>
      <c r="B203" s="470">
        <f t="shared" si="18"/>
        <v>-1.3550251483144191E-11</v>
      </c>
      <c r="C203" s="472">
        <f>IF(ROUND(Tableau36[[#This Row],[Solde début période]],2)&lt;=0,0,$D$2)</f>
        <v>0</v>
      </c>
      <c r="D203" s="472">
        <f t="shared" si="15"/>
        <v>-6.7751257415720959E-14</v>
      </c>
      <c r="E203" s="472">
        <f t="shared" si="16"/>
        <v>6.7751257415720959E-14</v>
      </c>
      <c r="F203" s="470">
        <f t="shared" si="17"/>
        <v>-1.3618002740559912E-11</v>
      </c>
    </row>
    <row r="204" spans="1:6" x14ac:dyDescent="0.2">
      <c r="A204" s="496">
        <f t="shared" si="19"/>
        <v>51136</v>
      </c>
      <c r="B204" s="470">
        <f t="shared" si="18"/>
        <v>-1.3618002740559912E-11</v>
      </c>
      <c r="C204" s="472">
        <f>IF(ROUND(Tableau36[[#This Row],[Solde début période]],2)&lt;=0,0,$D$2)</f>
        <v>0</v>
      </c>
      <c r="D204" s="472">
        <f t="shared" si="15"/>
        <v>-6.8090013702799558E-14</v>
      </c>
      <c r="E204" s="472">
        <f t="shared" si="16"/>
        <v>6.8090013702799558E-14</v>
      </c>
      <c r="F204" s="470">
        <f t="shared" si="17"/>
        <v>-1.3686092754262712E-11</v>
      </c>
    </row>
    <row r="205" spans="1:6" x14ac:dyDescent="0.2">
      <c r="A205" s="496">
        <f t="shared" si="19"/>
        <v>51167</v>
      </c>
      <c r="B205" s="470">
        <f t="shared" si="18"/>
        <v>-1.3686092754262712E-11</v>
      </c>
      <c r="C205" s="472">
        <f>IF(ROUND(Tableau36[[#This Row],[Solde début période]],2)&lt;=0,0,$D$2)</f>
        <v>0</v>
      </c>
      <c r="D205" s="472">
        <f t="shared" si="15"/>
        <v>-6.8430463771313562E-14</v>
      </c>
      <c r="E205" s="472">
        <f t="shared" si="16"/>
        <v>6.8430463771313562E-14</v>
      </c>
      <c r="F205" s="470">
        <f t="shared" si="17"/>
        <v>-1.3754523218034025E-11</v>
      </c>
    </row>
    <row r="206" spans="1:6" x14ac:dyDescent="0.2">
      <c r="A206" s="496">
        <f t="shared" si="19"/>
        <v>51196</v>
      </c>
      <c r="B206" s="470">
        <f t="shared" si="18"/>
        <v>-1.3754523218034025E-11</v>
      </c>
      <c r="C206" s="472">
        <f>IF(ROUND(Tableau36[[#This Row],[Solde début période]],2)&lt;=0,0,$D$2)</f>
        <v>0</v>
      </c>
      <c r="D206" s="472">
        <f t="shared" si="15"/>
        <v>-6.8772616090170123E-14</v>
      </c>
      <c r="E206" s="472">
        <f t="shared" si="16"/>
        <v>6.8772616090170123E-14</v>
      </c>
      <c r="F206" s="470">
        <f t="shared" si="17"/>
        <v>-1.3823295834124195E-11</v>
      </c>
    </row>
    <row r="207" spans="1:6" x14ac:dyDescent="0.2">
      <c r="A207" s="496">
        <f t="shared" si="19"/>
        <v>51227</v>
      </c>
      <c r="B207" s="470">
        <f t="shared" si="18"/>
        <v>-1.3823295834124195E-11</v>
      </c>
      <c r="C207" s="472">
        <f>IF(ROUND(Tableau36[[#This Row],[Solde début période]],2)&lt;=0,0,$D$2)</f>
        <v>0</v>
      </c>
      <c r="D207" s="472">
        <f t="shared" si="15"/>
        <v>-6.911647917062098E-14</v>
      </c>
      <c r="E207" s="472">
        <f t="shared" si="16"/>
        <v>6.911647917062098E-14</v>
      </c>
      <c r="F207" s="470">
        <f t="shared" si="17"/>
        <v>-1.3892412313294817E-11</v>
      </c>
    </row>
    <row r="208" spans="1:6" x14ac:dyDescent="0.2">
      <c r="A208" s="496">
        <f t="shared" si="19"/>
        <v>51257</v>
      </c>
      <c r="B208" s="470">
        <f t="shared" si="18"/>
        <v>-1.3892412313294817E-11</v>
      </c>
      <c r="C208" s="472">
        <f>IF(ROUND(Tableau36[[#This Row],[Solde début période]],2)&lt;=0,0,$D$2)</f>
        <v>0</v>
      </c>
      <c r="D208" s="472">
        <f t="shared" si="15"/>
        <v>-6.9462061566474089E-14</v>
      </c>
      <c r="E208" s="472">
        <f t="shared" si="16"/>
        <v>6.9462061566474089E-14</v>
      </c>
      <c r="F208" s="470">
        <f t="shared" si="17"/>
        <v>-1.396187437486129E-11</v>
      </c>
    </row>
    <row r="209" spans="1:6" x14ac:dyDescent="0.2">
      <c r="A209" s="496">
        <f t="shared" si="19"/>
        <v>51288</v>
      </c>
      <c r="B209" s="470">
        <f t="shared" si="18"/>
        <v>-1.396187437486129E-11</v>
      </c>
      <c r="C209" s="472">
        <f>IF(ROUND(Tableau36[[#This Row],[Solde début période]],2)&lt;=0,0,$D$2)</f>
        <v>0</v>
      </c>
      <c r="D209" s="472">
        <f t="shared" si="15"/>
        <v>-6.9809371874306457E-14</v>
      </c>
      <c r="E209" s="472">
        <f t="shared" si="16"/>
        <v>6.9809371874306457E-14</v>
      </c>
      <c r="F209" s="470">
        <f t="shared" si="17"/>
        <v>-1.4031683746735596E-11</v>
      </c>
    </row>
    <row r="210" spans="1:6" x14ac:dyDescent="0.2">
      <c r="A210" s="496">
        <f t="shared" si="19"/>
        <v>51318</v>
      </c>
      <c r="B210" s="470">
        <f t="shared" si="18"/>
        <v>-1.4031683746735596E-11</v>
      </c>
      <c r="C210" s="472">
        <f>IF(ROUND(Tableau36[[#This Row],[Solde début période]],2)&lt;=0,0,$D$2)</f>
        <v>0</v>
      </c>
      <c r="D210" s="472">
        <f t="shared" si="15"/>
        <v>-7.0158418733677985E-14</v>
      </c>
      <c r="E210" s="472">
        <f t="shared" si="16"/>
        <v>7.0158418733677985E-14</v>
      </c>
      <c r="F210" s="470">
        <f t="shared" si="17"/>
        <v>-1.4101842165469275E-11</v>
      </c>
    </row>
    <row r="211" spans="1:6" x14ac:dyDescent="0.2">
      <c r="A211" s="496">
        <f t="shared" si="19"/>
        <v>51349</v>
      </c>
      <c r="B211" s="470">
        <f t="shared" si="18"/>
        <v>-1.4101842165469275E-11</v>
      </c>
      <c r="C211" s="472">
        <f>IF(ROUND(Tableau36[[#This Row],[Solde début période]],2)&lt;=0,0,$D$2)</f>
        <v>0</v>
      </c>
      <c r="D211" s="472">
        <f t="shared" si="15"/>
        <v>-7.0509210827346372E-14</v>
      </c>
      <c r="E211" s="472">
        <f t="shared" si="16"/>
        <v>7.0509210827346372E-14</v>
      </c>
      <c r="F211" s="470">
        <f t="shared" si="17"/>
        <v>-1.4172351376296621E-11</v>
      </c>
    </row>
    <row r="212" spans="1:6" x14ac:dyDescent="0.2">
      <c r="A212" s="496">
        <f t="shared" si="19"/>
        <v>51380</v>
      </c>
      <c r="B212" s="470">
        <f t="shared" si="18"/>
        <v>-1.4172351376296621E-11</v>
      </c>
      <c r="C212" s="472">
        <f>IF(ROUND(Tableau36[[#This Row],[Solde début période]],2)&lt;=0,0,$D$2)</f>
        <v>0</v>
      </c>
      <c r="D212" s="472">
        <f t="shared" si="15"/>
        <v>-7.0861756881483109E-14</v>
      </c>
      <c r="E212" s="472">
        <f t="shared" si="16"/>
        <v>7.0861756881483109E-14</v>
      </c>
      <c r="F212" s="470">
        <f t="shared" si="17"/>
        <v>-1.4243213133178104E-11</v>
      </c>
    </row>
    <row r="213" spans="1:6" x14ac:dyDescent="0.2">
      <c r="A213" s="496">
        <f t="shared" si="19"/>
        <v>51410</v>
      </c>
      <c r="B213" s="470">
        <f t="shared" si="18"/>
        <v>-1.4243213133178104E-11</v>
      </c>
      <c r="C213" s="472">
        <f>IF(ROUND(Tableau36[[#This Row],[Solde début période]],2)&lt;=0,0,$D$2)</f>
        <v>0</v>
      </c>
      <c r="D213" s="472">
        <f t="shared" si="15"/>
        <v>-7.1216065665890522E-14</v>
      </c>
      <c r="E213" s="472">
        <f t="shared" si="16"/>
        <v>7.1216065665890522E-14</v>
      </c>
      <c r="F213" s="470">
        <f t="shared" si="17"/>
        <v>-1.4314429198843994E-11</v>
      </c>
    </row>
    <row r="214" spans="1:6" x14ac:dyDescent="0.2">
      <c r="A214" s="496">
        <f t="shared" si="19"/>
        <v>51441</v>
      </c>
      <c r="B214" s="470">
        <f t="shared" si="18"/>
        <v>-1.4314429198843994E-11</v>
      </c>
      <c r="C214" s="472">
        <f>IF(ROUND(Tableau36[[#This Row],[Solde début période]],2)&lt;=0,0,$D$2)</f>
        <v>0</v>
      </c>
      <c r="D214" s="472">
        <f t="shared" si="15"/>
        <v>-7.1572145994219969E-14</v>
      </c>
      <c r="E214" s="472">
        <f t="shared" si="16"/>
        <v>7.1572145994219969E-14</v>
      </c>
      <c r="F214" s="470">
        <f t="shared" si="17"/>
        <v>-1.4386001344838214E-11</v>
      </c>
    </row>
    <row r="215" spans="1:6" x14ac:dyDescent="0.2">
      <c r="A215" s="496">
        <f t="shared" si="19"/>
        <v>51471</v>
      </c>
      <c r="B215" s="470">
        <f t="shared" si="18"/>
        <v>-1.4386001344838214E-11</v>
      </c>
      <c r="C215" s="472">
        <f>IF(ROUND(Tableau36[[#This Row],[Solde début période]],2)&lt;=0,0,$D$2)</f>
        <v>0</v>
      </c>
      <c r="D215" s="472">
        <f t="shared" si="15"/>
        <v>-7.1930006724191074E-14</v>
      </c>
      <c r="E215" s="472">
        <f t="shared" si="16"/>
        <v>7.1930006724191074E-14</v>
      </c>
      <c r="F215" s="470">
        <f t="shared" si="17"/>
        <v>-1.4457931351562404E-11</v>
      </c>
    </row>
    <row r="216" spans="1:6" x14ac:dyDescent="0.2">
      <c r="A216" s="496">
        <f t="shared" si="19"/>
        <v>51502</v>
      </c>
      <c r="B216" s="470">
        <f t="shared" si="18"/>
        <v>-1.4457931351562404E-11</v>
      </c>
      <c r="C216" s="472">
        <f>IF(ROUND(Tableau36[[#This Row],[Solde début période]],2)&lt;=0,0,$D$2)</f>
        <v>0</v>
      </c>
      <c r="D216" s="472">
        <f t="shared" si="15"/>
        <v>-7.2289656757812021E-14</v>
      </c>
      <c r="E216" s="472">
        <f t="shared" si="16"/>
        <v>7.2289656757812021E-14</v>
      </c>
      <c r="F216" s="470">
        <f t="shared" si="17"/>
        <v>-1.4530221008320216E-11</v>
      </c>
    </row>
    <row r="217" spans="1:6" x14ac:dyDescent="0.2">
      <c r="A217" s="496">
        <f t="shared" si="19"/>
        <v>51533</v>
      </c>
      <c r="B217" s="470">
        <f t="shared" si="18"/>
        <v>-1.4530221008320216E-11</v>
      </c>
      <c r="C217" s="472">
        <f>IF(ROUND(Tableau36[[#This Row],[Solde début période]],2)&lt;=0,0,$D$2)</f>
        <v>0</v>
      </c>
      <c r="D217" s="472">
        <f t="shared" si="15"/>
        <v>-7.2651105041601086E-14</v>
      </c>
      <c r="E217" s="472">
        <f t="shared" si="16"/>
        <v>7.2651105041601086E-14</v>
      </c>
      <c r="F217" s="470">
        <f t="shared" si="17"/>
        <v>-1.4602872113361817E-11</v>
      </c>
    </row>
    <row r="218" spans="1:6" x14ac:dyDescent="0.2">
      <c r="A218" s="496">
        <f t="shared" si="19"/>
        <v>51561</v>
      </c>
      <c r="B218" s="470">
        <f t="shared" si="18"/>
        <v>-1.4602872113361817E-11</v>
      </c>
      <c r="C218" s="472">
        <f>IF(ROUND(Tableau36[[#This Row],[Solde début période]],2)&lt;=0,0,$D$2)</f>
        <v>0</v>
      </c>
      <c r="D218" s="472">
        <f t="shared" si="15"/>
        <v>-7.3014360566809088E-14</v>
      </c>
      <c r="E218" s="472">
        <f t="shared" si="16"/>
        <v>7.3014360566809088E-14</v>
      </c>
      <c r="F218" s="470">
        <f t="shared" si="17"/>
        <v>-1.4675886473928626E-11</v>
      </c>
    </row>
    <row r="219" spans="1:6" x14ac:dyDescent="0.2">
      <c r="A219" s="496">
        <f t="shared" si="19"/>
        <v>51592</v>
      </c>
      <c r="B219" s="470">
        <f t="shared" si="18"/>
        <v>-1.4675886473928626E-11</v>
      </c>
      <c r="C219" s="472">
        <f>IF(ROUND(Tableau36[[#This Row],[Solde début période]],2)&lt;=0,0,$D$2)</f>
        <v>0</v>
      </c>
      <c r="D219" s="472">
        <f t="shared" si="15"/>
        <v>-7.337943236964313E-14</v>
      </c>
      <c r="E219" s="472">
        <f t="shared" si="16"/>
        <v>7.337943236964313E-14</v>
      </c>
      <c r="F219" s="470">
        <f t="shared" si="17"/>
        <v>-1.474926590629827E-11</v>
      </c>
    </row>
    <row r="220" spans="1:6" x14ac:dyDescent="0.2">
      <c r="A220" s="496">
        <f t="shared" si="19"/>
        <v>51622</v>
      </c>
      <c r="B220" s="470">
        <f t="shared" si="18"/>
        <v>-1.474926590629827E-11</v>
      </c>
      <c r="C220" s="472">
        <f>IF(ROUND(Tableau36[[#This Row],[Solde début période]],2)&lt;=0,0,$D$2)</f>
        <v>0</v>
      </c>
      <c r="D220" s="472">
        <f t="shared" si="15"/>
        <v>-7.3746329531491349E-14</v>
      </c>
      <c r="E220" s="472">
        <f t="shared" si="16"/>
        <v>7.3746329531491349E-14</v>
      </c>
      <c r="F220" s="470">
        <f t="shared" si="17"/>
        <v>-1.4823012235829762E-11</v>
      </c>
    </row>
    <row r="221" spans="1:6" x14ac:dyDescent="0.2">
      <c r="A221" s="496">
        <f t="shared" si="19"/>
        <v>51653</v>
      </c>
      <c r="B221" s="470">
        <f t="shared" si="18"/>
        <v>-1.4823012235829762E-11</v>
      </c>
      <c r="C221" s="472">
        <f>IF(ROUND(Tableau36[[#This Row],[Solde début période]],2)&lt;=0,0,$D$2)</f>
        <v>0</v>
      </c>
      <c r="D221" s="472">
        <f t="shared" si="15"/>
        <v>-7.4115061179148813E-14</v>
      </c>
      <c r="E221" s="472">
        <f t="shared" si="16"/>
        <v>7.4115061179148813E-14</v>
      </c>
      <c r="F221" s="470">
        <f t="shared" si="17"/>
        <v>-1.4897127297008909E-11</v>
      </c>
    </row>
    <row r="222" spans="1:6" x14ac:dyDescent="0.2">
      <c r="A222" s="496">
        <f t="shared" si="19"/>
        <v>51683</v>
      </c>
      <c r="B222" s="470">
        <f t="shared" si="18"/>
        <v>-1.4897127297008909E-11</v>
      </c>
      <c r="C222" s="472">
        <f>IF(ROUND(Tableau36[[#This Row],[Solde début période]],2)&lt;=0,0,$D$2)</f>
        <v>0</v>
      </c>
      <c r="D222" s="472">
        <f t="shared" si="15"/>
        <v>-7.4485636485044554E-14</v>
      </c>
      <c r="E222" s="472">
        <f t="shared" si="16"/>
        <v>7.4485636485044554E-14</v>
      </c>
      <c r="F222" s="470">
        <f t="shared" si="17"/>
        <v>-1.4971612933493953E-11</v>
      </c>
    </row>
    <row r="223" spans="1:6" x14ac:dyDescent="0.2">
      <c r="A223" s="496">
        <f t="shared" si="19"/>
        <v>51714</v>
      </c>
      <c r="B223" s="470">
        <f t="shared" si="18"/>
        <v>-1.4971612933493953E-11</v>
      </c>
      <c r="C223" s="472">
        <f>IF(ROUND(Tableau36[[#This Row],[Solde début période]],2)&lt;=0,0,$D$2)</f>
        <v>0</v>
      </c>
      <c r="D223" s="472">
        <f t="shared" si="15"/>
        <v>-7.4858064667469769E-14</v>
      </c>
      <c r="E223" s="472">
        <f t="shared" si="16"/>
        <v>7.4858064667469769E-14</v>
      </c>
      <c r="F223" s="470">
        <f t="shared" si="17"/>
        <v>-1.5046470998161424E-11</v>
      </c>
    </row>
    <row r="224" spans="1:6" x14ac:dyDescent="0.2">
      <c r="A224" s="496">
        <f t="shared" si="19"/>
        <v>51745</v>
      </c>
      <c r="B224" s="470">
        <f t="shared" si="18"/>
        <v>-1.5046470998161424E-11</v>
      </c>
      <c r="C224" s="472">
        <f>IF(ROUND(Tableau36[[#This Row],[Solde début période]],2)&lt;=0,0,$D$2)</f>
        <v>0</v>
      </c>
      <c r="D224" s="472">
        <f t="shared" si="15"/>
        <v>-7.5232354990807117E-14</v>
      </c>
      <c r="E224" s="472">
        <f t="shared" si="16"/>
        <v>7.5232354990807117E-14</v>
      </c>
      <c r="F224" s="470">
        <f t="shared" si="17"/>
        <v>-1.5121703353152231E-11</v>
      </c>
    </row>
    <row r="225" spans="1:6" x14ac:dyDescent="0.2">
      <c r="A225" s="496">
        <f t="shared" si="19"/>
        <v>51775</v>
      </c>
      <c r="B225" s="470">
        <f t="shared" si="18"/>
        <v>-1.5121703353152231E-11</v>
      </c>
      <c r="C225" s="472">
        <f>IF(ROUND(Tableau36[[#This Row],[Solde début période]],2)&lt;=0,0,$D$2)</f>
        <v>0</v>
      </c>
      <c r="D225" s="472">
        <f t="shared" si="15"/>
        <v>-7.560851676576116E-14</v>
      </c>
      <c r="E225" s="472">
        <f t="shared" si="16"/>
        <v>7.560851676576116E-14</v>
      </c>
      <c r="F225" s="470">
        <f t="shared" si="17"/>
        <v>-1.5197311869917993E-11</v>
      </c>
    </row>
    <row r="226" spans="1:6" x14ac:dyDescent="0.2">
      <c r="A226" s="496">
        <f t="shared" si="19"/>
        <v>51806</v>
      </c>
      <c r="B226" s="470">
        <f t="shared" si="18"/>
        <v>-1.5197311869917993E-11</v>
      </c>
      <c r="C226" s="472">
        <f>IF(ROUND(Tableau36[[#This Row],[Solde début période]],2)&lt;=0,0,$D$2)</f>
        <v>0</v>
      </c>
      <c r="D226" s="472">
        <f t="shared" si="15"/>
        <v>-7.5986559349589965E-14</v>
      </c>
      <c r="E226" s="472">
        <f t="shared" si="16"/>
        <v>7.5986559349589965E-14</v>
      </c>
      <c r="F226" s="470">
        <f t="shared" si="17"/>
        <v>-1.5273298429267583E-11</v>
      </c>
    </row>
    <row r="227" spans="1:6" x14ac:dyDescent="0.2">
      <c r="A227" s="496">
        <f t="shared" si="19"/>
        <v>51836</v>
      </c>
      <c r="B227" s="470">
        <f t="shared" si="18"/>
        <v>-1.5273298429267583E-11</v>
      </c>
      <c r="C227" s="472">
        <f>IF(ROUND(Tableau36[[#This Row],[Solde début période]],2)&lt;=0,0,$D$2)</f>
        <v>0</v>
      </c>
      <c r="D227" s="472">
        <f t="shared" si="15"/>
        <v>-7.6366492146337908E-14</v>
      </c>
      <c r="E227" s="472">
        <f t="shared" si="16"/>
        <v>7.6366492146337908E-14</v>
      </c>
      <c r="F227" s="470">
        <f t="shared" si="17"/>
        <v>-1.534966492141392E-11</v>
      </c>
    </row>
    <row r="228" spans="1:6" x14ac:dyDescent="0.2">
      <c r="A228" s="496">
        <f t="shared" si="19"/>
        <v>51867</v>
      </c>
      <c r="B228" s="470">
        <f t="shared" si="18"/>
        <v>-1.534966492141392E-11</v>
      </c>
      <c r="C228" s="472">
        <f>IF(ROUND(Tableau36[[#This Row],[Solde début période]],2)&lt;=0,0,$D$2)</f>
        <v>0</v>
      </c>
      <c r="D228" s="472">
        <f t="shared" si="15"/>
        <v>-7.6748324607069601E-14</v>
      </c>
      <c r="E228" s="472">
        <f t="shared" si="16"/>
        <v>7.6748324607069601E-14</v>
      </c>
      <c r="F228" s="470">
        <f t="shared" si="17"/>
        <v>-1.5426413246020991E-11</v>
      </c>
    </row>
    <row r="229" spans="1:6" x14ac:dyDescent="0.2">
      <c r="A229" s="496">
        <f t="shared" si="19"/>
        <v>51898</v>
      </c>
      <c r="B229" s="470">
        <f t="shared" si="18"/>
        <v>-1.5426413246020991E-11</v>
      </c>
      <c r="C229" s="472">
        <f>IF(ROUND(Tableau36[[#This Row],[Solde début période]],2)&lt;=0,0,$D$2)</f>
        <v>0</v>
      </c>
      <c r="D229" s="472">
        <f t="shared" si="15"/>
        <v>-7.713206623010496E-14</v>
      </c>
      <c r="E229" s="472">
        <f t="shared" si="16"/>
        <v>7.713206623010496E-14</v>
      </c>
      <c r="F229" s="470">
        <f t="shared" si="17"/>
        <v>-1.5503545312251097E-11</v>
      </c>
    </row>
    <row r="230" spans="1:6" x14ac:dyDescent="0.2">
      <c r="A230" s="496">
        <f t="shared" si="19"/>
        <v>51926</v>
      </c>
      <c r="B230" s="470">
        <f t="shared" si="18"/>
        <v>-1.5503545312251097E-11</v>
      </c>
      <c r="C230" s="472">
        <f>IF(ROUND(Tableau36[[#This Row],[Solde début période]],2)&lt;=0,0,$D$2)</f>
        <v>0</v>
      </c>
      <c r="D230" s="472">
        <f t="shared" si="15"/>
        <v>-7.7517726561255488E-14</v>
      </c>
      <c r="E230" s="472">
        <f t="shared" si="16"/>
        <v>7.7517726561255488E-14</v>
      </c>
      <c r="F230" s="470">
        <f t="shared" si="17"/>
        <v>-1.5581063038812351E-11</v>
      </c>
    </row>
    <row r="231" spans="1:6" x14ac:dyDescent="0.2">
      <c r="A231" s="496">
        <f t="shared" si="19"/>
        <v>51957</v>
      </c>
      <c r="B231" s="470">
        <f t="shared" si="18"/>
        <v>-1.5581063038812351E-11</v>
      </c>
      <c r="C231" s="472">
        <f>IF(ROUND(Tableau36[[#This Row],[Solde début période]],2)&lt;=0,0,$D$2)</f>
        <v>0</v>
      </c>
      <c r="D231" s="472">
        <f t="shared" si="15"/>
        <v>-7.7905315194061749E-14</v>
      </c>
      <c r="E231" s="472">
        <f t="shared" si="16"/>
        <v>7.7905315194061749E-14</v>
      </c>
      <c r="F231" s="470">
        <f t="shared" si="17"/>
        <v>-1.5658968354006412E-11</v>
      </c>
    </row>
    <row r="232" spans="1:6" x14ac:dyDescent="0.2">
      <c r="A232" s="496">
        <f t="shared" si="19"/>
        <v>51987</v>
      </c>
      <c r="B232" s="470">
        <f t="shared" si="18"/>
        <v>-1.5658968354006412E-11</v>
      </c>
      <c r="C232" s="472">
        <f>IF(ROUND(Tableau36[[#This Row],[Solde début période]],2)&lt;=0,0,$D$2)</f>
        <v>0</v>
      </c>
      <c r="D232" s="472">
        <f t="shared" si="15"/>
        <v>-7.8294841770032063E-14</v>
      </c>
      <c r="E232" s="472">
        <f t="shared" si="16"/>
        <v>7.8294841770032063E-14</v>
      </c>
      <c r="F232" s="470">
        <f t="shared" si="17"/>
        <v>-1.5737263195776444E-11</v>
      </c>
    </row>
    <row r="233" spans="1:6" x14ac:dyDescent="0.2">
      <c r="A233" s="496">
        <f t="shared" si="19"/>
        <v>52018</v>
      </c>
      <c r="B233" s="470">
        <f t="shared" si="18"/>
        <v>-1.5737263195776444E-11</v>
      </c>
      <c r="C233" s="472">
        <f>IF(ROUND(Tableau36[[#This Row],[Solde début période]],2)&lt;=0,0,$D$2)</f>
        <v>0</v>
      </c>
      <c r="D233" s="472">
        <f t="shared" si="15"/>
        <v>-7.8686315978882217E-14</v>
      </c>
      <c r="E233" s="472">
        <f t="shared" si="16"/>
        <v>7.8686315978882217E-14</v>
      </c>
      <c r="F233" s="470">
        <f t="shared" si="17"/>
        <v>-1.5815949511755327E-11</v>
      </c>
    </row>
    <row r="234" spans="1:6" x14ac:dyDescent="0.2">
      <c r="A234" s="496">
        <f t="shared" si="19"/>
        <v>52048</v>
      </c>
      <c r="B234" s="470">
        <f t="shared" si="18"/>
        <v>-1.5815949511755327E-11</v>
      </c>
      <c r="C234" s="472">
        <f>IF(ROUND(Tableau36[[#This Row],[Solde début période]],2)&lt;=0,0,$D$2)</f>
        <v>0</v>
      </c>
      <c r="D234" s="472">
        <f t="shared" si="15"/>
        <v>-7.9079747558776638E-14</v>
      </c>
      <c r="E234" s="472">
        <f t="shared" si="16"/>
        <v>7.9079747558776638E-14</v>
      </c>
      <c r="F234" s="470">
        <f t="shared" si="17"/>
        <v>-1.5895029259314102E-11</v>
      </c>
    </row>
    <row r="235" spans="1:6" x14ac:dyDescent="0.2">
      <c r="A235" s="496">
        <f t="shared" si="19"/>
        <v>52079</v>
      </c>
      <c r="B235" s="470">
        <f t="shared" si="18"/>
        <v>-1.5895029259314102E-11</v>
      </c>
      <c r="C235" s="472">
        <f>IF(ROUND(Tableau36[[#This Row],[Solde début période]],2)&lt;=0,0,$D$2)</f>
        <v>0</v>
      </c>
      <c r="D235" s="472">
        <f t="shared" si="15"/>
        <v>-7.9475146296570512E-14</v>
      </c>
      <c r="E235" s="472">
        <f t="shared" si="16"/>
        <v>7.9475146296570512E-14</v>
      </c>
      <c r="F235" s="470">
        <f t="shared" si="17"/>
        <v>-1.5974504405610672E-11</v>
      </c>
    </row>
    <row r="236" spans="1:6" x14ac:dyDescent="0.2">
      <c r="A236" s="496">
        <f t="shared" si="19"/>
        <v>52110</v>
      </c>
      <c r="B236" s="470">
        <f t="shared" si="18"/>
        <v>-1.5974504405610672E-11</v>
      </c>
      <c r="C236" s="472">
        <f>IF(ROUND(Tableau36[[#This Row],[Solde début période]],2)&lt;=0,0,$D$2)</f>
        <v>0</v>
      </c>
      <c r="D236" s="472">
        <f t="shared" si="15"/>
        <v>-7.9872522028053363E-14</v>
      </c>
      <c r="E236" s="472">
        <f t="shared" si="16"/>
        <v>7.9872522028053363E-14</v>
      </c>
      <c r="F236" s="470">
        <f t="shared" si="17"/>
        <v>-1.6054376927638727E-11</v>
      </c>
    </row>
    <row r="237" spans="1:6" x14ac:dyDescent="0.2">
      <c r="A237" s="496">
        <f t="shared" si="19"/>
        <v>52140</v>
      </c>
      <c r="B237" s="470">
        <f t="shared" si="18"/>
        <v>-1.6054376927638727E-11</v>
      </c>
      <c r="C237" s="472">
        <f>IF(ROUND(Tableau36[[#This Row],[Solde début période]],2)&lt;=0,0,$D$2)</f>
        <v>0</v>
      </c>
      <c r="D237" s="472">
        <f t="shared" si="15"/>
        <v>-8.0271884638193631E-14</v>
      </c>
      <c r="E237" s="472">
        <f t="shared" si="16"/>
        <v>8.0271884638193631E-14</v>
      </c>
      <c r="F237" s="470">
        <f t="shared" si="17"/>
        <v>-1.613464881227692E-11</v>
      </c>
    </row>
    <row r="238" spans="1:6" x14ac:dyDescent="0.2">
      <c r="A238" s="496">
        <f t="shared" si="19"/>
        <v>52171</v>
      </c>
      <c r="B238" s="470">
        <f t="shared" si="18"/>
        <v>-1.613464881227692E-11</v>
      </c>
      <c r="C238" s="472">
        <f>IF(ROUND(Tableau36[[#This Row],[Solde début période]],2)&lt;=0,0,$D$2)</f>
        <v>0</v>
      </c>
      <c r="D238" s="472">
        <f t="shared" si="15"/>
        <v>-8.0673244061384594E-14</v>
      </c>
      <c r="E238" s="472">
        <f t="shared" si="16"/>
        <v>8.0673244061384594E-14</v>
      </c>
      <c r="F238" s="470">
        <f t="shared" si="17"/>
        <v>-1.6215322056338303E-11</v>
      </c>
    </row>
    <row r="239" spans="1:6" x14ac:dyDescent="0.2">
      <c r="A239" s="496">
        <f t="shared" si="19"/>
        <v>52201</v>
      </c>
      <c r="B239" s="470">
        <f t="shared" si="18"/>
        <v>-1.6215322056338303E-11</v>
      </c>
      <c r="C239" s="472">
        <f>IF(ROUND(Tableau36[[#This Row],[Solde début période]],2)&lt;=0,0,$D$2)</f>
        <v>0</v>
      </c>
      <c r="D239" s="472">
        <f t="shared" si="15"/>
        <v>-8.1076610281691512E-14</v>
      </c>
      <c r="E239" s="472">
        <f t="shared" si="16"/>
        <v>8.1076610281691512E-14</v>
      </c>
      <c r="F239" s="470">
        <f t="shared" si="17"/>
        <v>-1.6296398666619996E-11</v>
      </c>
    </row>
    <row r="240" spans="1:6" x14ac:dyDescent="0.2">
      <c r="A240" s="496">
        <f t="shared" si="19"/>
        <v>52232</v>
      </c>
      <c r="B240" s="470">
        <f t="shared" si="18"/>
        <v>-1.6296398666619996E-11</v>
      </c>
      <c r="C240" s="472">
        <f>IF(ROUND(Tableau36[[#This Row],[Solde début période]],2)&lt;=0,0,$D$2)</f>
        <v>0</v>
      </c>
      <c r="D240" s="472">
        <f t="shared" si="15"/>
        <v>-8.1481993333099974E-14</v>
      </c>
      <c r="E240" s="472">
        <f t="shared" si="16"/>
        <v>8.1481993333099974E-14</v>
      </c>
      <c r="F240" s="470">
        <f t="shared" si="17"/>
        <v>-1.6377880659953095E-11</v>
      </c>
    </row>
    <row r="241" spans="1:6" x14ac:dyDescent="0.2">
      <c r="A241" s="496">
        <f t="shared" si="19"/>
        <v>52263</v>
      </c>
      <c r="B241" s="470">
        <f t="shared" si="18"/>
        <v>-1.6377880659953095E-11</v>
      </c>
      <c r="C241" s="472">
        <f>IF(ROUND(Tableau36[[#This Row],[Solde début période]],2)&lt;=0,0,$D$2)</f>
        <v>0</v>
      </c>
      <c r="D241" s="472">
        <f t="shared" si="15"/>
        <v>-8.188940329976547E-14</v>
      </c>
      <c r="E241" s="472">
        <f t="shared" si="16"/>
        <v>8.188940329976547E-14</v>
      </c>
      <c r="F241" s="470">
        <f t="shared" si="17"/>
        <v>-1.645977006325286E-11</v>
      </c>
    </row>
    <row r="242" spans="1:6" x14ac:dyDescent="0.2">
      <c r="A242" s="496">
        <f t="shared" si="19"/>
        <v>52291</v>
      </c>
      <c r="B242" s="470">
        <f t="shared" si="18"/>
        <v>-1.645977006325286E-11</v>
      </c>
      <c r="C242" s="472">
        <f>IF(ROUND(Tableau36[[#This Row],[Solde début période]],2)&lt;=0,0,$D$2)</f>
        <v>0</v>
      </c>
      <c r="D242" s="472">
        <f t="shared" si="15"/>
        <v>-8.2298850316264301E-14</v>
      </c>
      <c r="E242" s="472">
        <f t="shared" si="16"/>
        <v>8.2298850316264301E-14</v>
      </c>
      <c r="F242" s="470">
        <f t="shared" si="17"/>
        <v>-1.6542068913569123E-11</v>
      </c>
    </row>
    <row r="243" spans="1:6" x14ac:dyDescent="0.2">
      <c r="A243" s="496">
        <f t="shared" si="19"/>
        <v>52322</v>
      </c>
      <c r="B243" s="470">
        <f t="shared" si="18"/>
        <v>-1.6542068913569123E-11</v>
      </c>
      <c r="C243" s="472">
        <f>IF(ROUND(Tableau36[[#This Row],[Solde début période]],2)&lt;=0,0,$D$2)</f>
        <v>0</v>
      </c>
      <c r="D243" s="472">
        <f t="shared" si="15"/>
        <v>-8.2710344567845616E-14</v>
      </c>
      <c r="E243" s="472">
        <f t="shared" si="16"/>
        <v>8.2710344567845616E-14</v>
      </c>
      <c r="F243" s="470">
        <f t="shared" si="17"/>
        <v>-1.662477925813697E-11</v>
      </c>
    </row>
    <row r="244" spans="1:6" x14ac:dyDescent="0.2">
      <c r="A244" s="496">
        <f t="shared" si="19"/>
        <v>52352</v>
      </c>
      <c r="B244" s="470">
        <f t="shared" si="18"/>
        <v>-1.662477925813697E-11</v>
      </c>
      <c r="C244" s="472">
        <f>IF(ROUND(Tableau36[[#This Row],[Solde début période]],2)&lt;=0,0,$D$2)</f>
        <v>0</v>
      </c>
      <c r="D244" s="472">
        <f t="shared" si="15"/>
        <v>-8.3123896290684852E-14</v>
      </c>
      <c r="E244" s="472">
        <f t="shared" si="16"/>
        <v>8.3123896290684852E-14</v>
      </c>
      <c r="F244" s="470">
        <f t="shared" si="17"/>
        <v>-1.6707903154427655E-11</v>
      </c>
    </row>
    <row r="245" spans="1:6" x14ac:dyDescent="0.2">
      <c r="A245" s="496">
        <f t="shared" si="19"/>
        <v>52383</v>
      </c>
      <c r="B245" s="470">
        <f t="shared" si="18"/>
        <v>-1.6707903154427655E-11</v>
      </c>
      <c r="C245" s="472">
        <f>IF(ROUND(Tableau36[[#This Row],[Solde début période]],2)&lt;=0,0,$D$2)</f>
        <v>0</v>
      </c>
      <c r="D245" s="472">
        <f t="shared" si="15"/>
        <v>-8.3539515772138274E-14</v>
      </c>
      <c r="E245" s="472">
        <f t="shared" si="16"/>
        <v>8.3539515772138274E-14</v>
      </c>
      <c r="F245" s="470">
        <f t="shared" si="17"/>
        <v>-1.6791442670199794E-11</v>
      </c>
    </row>
    <row r="246" spans="1:6" x14ac:dyDescent="0.2">
      <c r="A246" s="496">
        <f t="shared" si="19"/>
        <v>52413</v>
      </c>
      <c r="B246" s="470">
        <f t="shared" si="18"/>
        <v>-1.6791442670199794E-11</v>
      </c>
      <c r="C246" s="472">
        <f>IF(ROUND(Tableau36[[#This Row],[Solde début période]],2)&lt;=0,0,$D$2)</f>
        <v>0</v>
      </c>
      <c r="D246" s="472">
        <f t="shared" si="15"/>
        <v>-8.395721335099897E-14</v>
      </c>
      <c r="E246" s="472">
        <f t="shared" si="16"/>
        <v>8.395721335099897E-14</v>
      </c>
      <c r="F246" s="470">
        <f t="shared" si="17"/>
        <v>-1.6875399883550794E-11</v>
      </c>
    </row>
    <row r="247" spans="1:6" x14ac:dyDescent="0.2">
      <c r="A247" s="496">
        <f t="shared" si="19"/>
        <v>52444</v>
      </c>
      <c r="B247" s="470">
        <f t="shared" si="18"/>
        <v>-1.6875399883550794E-11</v>
      </c>
      <c r="C247" s="472">
        <f>IF(ROUND(Tableau36[[#This Row],[Solde début période]],2)&lt;=0,0,$D$2)</f>
        <v>0</v>
      </c>
      <c r="D247" s="472">
        <f t="shared" si="15"/>
        <v>-8.4376999417753971E-14</v>
      </c>
      <c r="E247" s="472">
        <f t="shared" si="16"/>
        <v>8.4376999417753971E-14</v>
      </c>
      <c r="F247" s="470">
        <f t="shared" si="17"/>
        <v>-1.6959776882968548E-11</v>
      </c>
    </row>
    <row r="248" spans="1:6" x14ac:dyDescent="0.2">
      <c r="A248" s="496">
        <f t="shared" si="19"/>
        <v>52475</v>
      </c>
      <c r="B248" s="470">
        <f t="shared" si="18"/>
        <v>-1.6959776882968548E-11</v>
      </c>
      <c r="C248" s="472">
        <f>IF(ROUND(Tableau36[[#This Row],[Solde début période]],2)&lt;=0,0,$D$2)</f>
        <v>0</v>
      </c>
      <c r="D248" s="472">
        <f t="shared" si="15"/>
        <v>-8.4798884414842741E-14</v>
      </c>
      <c r="E248" s="472">
        <f t="shared" si="16"/>
        <v>8.4798884414842741E-14</v>
      </c>
      <c r="F248" s="470">
        <f t="shared" si="17"/>
        <v>-1.7044575767383391E-11</v>
      </c>
    </row>
    <row r="249" spans="1:6" x14ac:dyDescent="0.2">
      <c r="A249" s="496">
        <f t="shared" si="19"/>
        <v>52505</v>
      </c>
      <c r="B249" s="470">
        <f t="shared" si="18"/>
        <v>-1.7044575767383391E-11</v>
      </c>
      <c r="C249" s="472">
        <f>IF(ROUND(Tableau36[[#This Row],[Solde début période]],2)&lt;=0,0,$D$2)</f>
        <v>0</v>
      </c>
      <c r="D249" s="472">
        <f t="shared" si="15"/>
        <v>-8.5222878836916962E-14</v>
      </c>
      <c r="E249" s="472">
        <f t="shared" si="16"/>
        <v>8.5222878836916962E-14</v>
      </c>
      <c r="F249" s="470">
        <f t="shared" si="17"/>
        <v>-1.712979864622031E-11</v>
      </c>
    </row>
    <row r="250" spans="1:6" x14ac:dyDescent="0.2">
      <c r="A250" s="496">
        <f t="shared" si="19"/>
        <v>52536</v>
      </c>
      <c r="B250" s="470">
        <f t="shared" si="18"/>
        <v>-1.712979864622031E-11</v>
      </c>
      <c r="C250" s="472">
        <f>IF(ROUND(Tableau36[[#This Row],[Solde début période]],2)&lt;=0,0,$D$2)</f>
        <v>0</v>
      </c>
      <c r="D250" s="472">
        <f t="shared" si="15"/>
        <v>-8.5648993231101552E-14</v>
      </c>
      <c r="E250" s="472">
        <f t="shared" si="16"/>
        <v>8.5648993231101552E-14</v>
      </c>
      <c r="F250" s="470">
        <f t="shared" si="17"/>
        <v>-1.7215447639451412E-11</v>
      </c>
    </row>
    <row r="251" spans="1:6" x14ac:dyDescent="0.2">
      <c r="A251" s="496">
        <f t="shared" si="19"/>
        <v>52566</v>
      </c>
      <c r="B251" s="470">
        <f t="shared" si="18"/>
        <v>-1.7215447639451412E-11</v>
      </c>
      <c r="C251" s="472">
        <f>IF(ROUND(Tableau36[[#This Row],[Solde début période]],2)&lt;=0,0,$D$2)</f>
        <v>0</v>
      </c>
      <c r="D251" s="472">
        <f t="shared" si="15"/>
        <v>-8.6077238197257058E-14</v>
      </c>
      <c r="E251" s="472">
        <f t="shared" si="16"/>
        <v>8.6077238197257058E-14</v>
      </c>
      <c r="F251" s="470">
        <f t="shared" si="17"/>
        <v>-1.7301524877648668E-11</v>
      </c>
    </row>
    <row r="252" spans="1:6" x14ac:dyDescent="0.2">
      <c r="A252" s="496">
        <f t="shared" si="19"/>
        <v>52597</v>
      </c>
      <c r="B252" s="470">
        <f t="shared" si="18"/>
        <v>-1.7301524877648668E-11</v>
      </c>
      <c r="C252" s="472">
        <f>IF(ROUND(Tableau36[[#This Row],[Solde début période]],2)&lt;=0,0,$D$2)</f>
        <v>0</v>
      </c>
      <c r="D252" s="472">
        <f t="shared" si="15"/>
        <v>-8.6507624388243335E-14</v>
      </c>
      <c r="E252" s="472">
        <f t="shared" si="16"/>
        <v>8.6507624388243335E-14</v>
      </c>
      <c r="F252" s="470">
        <f t="shared" si="17"/>
        <v>-1.7388032502036912E-11</v>
      </c>
    </row>
    <row r="253" spans="1:6" x14ac:dyDescent="0.2">
      <c r="A253" s="496">
        <f t="shared" si="19"/>
        <v>52628</v>
      </c>
      <c r="B253" s="470">
        <f t="shared" si="18"/>
        <v>-1.7388032502036912E-11</v>
      </c>
      <c r="C253" s="472">
        <f>IF(ROUND(Tableau36[[#This Row],[Solde début période]],2)&lt;=0,0,$D$2)</f>
        <v>0</v>
      </c>
      <c r="D253" s="472">
        <f t="shared" si="15"/>
        <v>-8.6940162510184559E-14</v>
      </c>
      <c r="E253" s="472">
        <f t="shared" si="16"/>
        <v>8.6940162510184559E-14</v>
      </c>
      <c r="F253" s="470">
        <f t="shared" si="17"/>
        <v>-1.7474972664547097E-11</v>
      </c>
    </row>
    <row r="254" spans="1:6" x14ac:dyDescent="0.2">
      <c r="A254" s="496">
        <f t="shared" si="19"/>
        <v>52657</v>
      </c>
      <c r="B254" s="470">
        <f t="shared" si="18"/>
        <v>-1.7474972664547097E-11</v>
      </c>
      <c r="C254" s="472">
        <f>IF(ROUND(Tableau36[[#This Row],[Solde début période]],2)&lt;=0,0,$D$2)</f>
        <v>0</v>
      </c>
      <c r="D254" s="472">
        <f t="shared" si="15"/>
        <v>-8.7374863322735491E-14</v>
      </c>
      <c r="E254" s="472">
        <f t="shared" si="16"/>
        <v>8.7374863322735491E-14</v>
      </c>
      <c r="F254" s="470">
        <f t="shared" si="17"/>
        <v>-1.7562347527869831E-11</v>
      </c>
    </row>
    <row r="255" spans="1:6" x14ac:dyDescent="0.2">
      <c r="A255" s="496">
        <f t="shared" si="19"/>
        <v>52688</v>
      </c>
      <c r="B255" s="470">
        <f t="shared" si="18"/>
        <v>-1.7562347527869831E-11</v>
      </c>
      <c r="C255" s="472">
        <f>IF(ROUND(Tableau36[[#This Row],[Solde début période]],2)&lt;=0,0,$D$2)</f>
        <v>0</v>
      </c>
      <c r="D255" s="472">
        <f t="shared" si="15"/>
        <v>-8.7811737639349161E-14</v>
      </c>
      <c r="E255" s="472">
        <f t="shared" si="16"/>
        <v>8.7811737639349161E-14</v>
      </c>
      <c r="F255" s="470">
        <f t="shared" si="17"/>
        <v>-1.7650159265509179E-11</v>
      </c>
    </row>
    <row r="256" spans="1:6" x14ac:dyDescent="0.2">
      <c r="A256" s="496">
        <f t="shared" si="19"/>
        <v>52718</v>
      </c>
      <c r="B256" s="470">
        <f t="shared" si="18"/>
        <v>-1.7650159265509179E-11</v>
      </c>
      <c r="C256" s="472">
        <f>IF(ROUND(Tableau36[[#This Row],[Solde début période]],2)&lt;=0,0,$D$2)</f>
        <v>0</v>
      </c>
      <c r="D256" s="472">
        <f t="shared" si="15"/>
        <v>-8.8250796327545901E-14</v>
      </c>
      <c r="E256" s="472">
        <f t="shared" si="16"/>
        <v>8.8250796327545901E-14</v>
      </c>
      <c r="F256" s="470">
        <f t="shared" si="17"/>
        <v>-1.7738410061836725E-11</v>
      </c>
    </row>
    <row r="257" spans="1:6" x14ac:dyDescent="0.2">
      <c r="A257" s="496">
        <f t="shared" si="19"/>
        <v>52749</v>
      </c>
      <c r="B257" s="470">
        <f t="shared" si="18"/>
        <v>-1.7738410061836725E-11</v>
      </c>
      <c r="C257" s="472">
        <f>IF(ROUND(Tableau36[[#This Row],[Solde début période]],2)&lt;=0,0,$D$2)</f>
        <v>0</v>
      </c>
      <c r="D257" s="472">
        <f t="shared" si="15"/>
        <v>-8.8692050309183627E-14</v>
      </c>
      <c r="E257" s="472">
        <f t="shared" si="16"/>
        <v>8.8692050309183627E-14</v>
      </c>
      <c r="F257" s="470">
        <f t="shared" si="17"/>
        <v>-1.7827102112145909E-11</v>
      </c>
    </row>
    <row r="258" spans="1:6" x14ac:dyDescent="0.2">
      <c r="A258" s="496">
        <f t="shared" si="19"/>
        <v>52779</v>
      </c>
      <c r="B258" s="470">
        <f t="shared" si="18"/>
        <v>-1.7827102112145909E-11</v>
      </c>
      <c r="C258" s="472">
        <f>IF(ROUND(Tableau36[[#This Row],[Solde début période]],2)&lt;=0,0,$D$2)</f>
        <v>0</v>
      </c>
      <c r="D258" s="472">
        <f t="shared" si="15"/>
        <v>-8.9135510560729551E-14</v>
      </c>
      <c r="E258" s="472">
        <f t="shared" si="16"/>
        <v>8.9135510560729551E-14</v>
      </c>
      <c r="F258" s="470">
        <f t="shared" si="17"/>
        <v>-1.7916237622706638E-11</v>
      </c>
    </row>
    <row r="259" spans="1:6" x14ac:dyDescent="0.2">
      <c r="A259" s="496">
        <f t="shared" si="19"/>
        <v>52810</v>
      </c>
      <c r="B259" s="470">
        <f t="shared" si="18"/>
        <v>-1.7916237622706638E-11</v>
      </c>
      <c r="C259" s="472">
        <f>IF(ROUND(Tableau36[[#This Row],[Solde début période]],2)&lt;=0,0,$D$2)</f>
        <v>0</v>
      </c>
      <c r="D259" s="472">
        <f t="shared" si="15"/>
        <v>-8.9581188113533198E-14</v>
      </c>
      <c r="E259" s="472">
        <f t="shared" si="16"/>
        <v>8.9581188113533198E-14</v>
      </c>
      <c r="F259" s="470">
        <f t="shared" si="17"/>
        <v>-1.8005818810820173E-11</v>
      </c>
    </row>
    <row r="260" spans="1:6" x14ac:dyDescent="0.2">
      <c r="A260" s="496">
        <f t="shared" si="19"/>
        <v>52841</v>
      </c>
      <c r="B260" s="470">
        <f t="shared" si="18"/>
        <v>-1.8005818810820173E-11</v>
      </c>
      <c r="C260" s="472">
        <f>IF(ROUND(Tableau36[[#This Row],[Solde début période]],2)&lt;=0,0,$D$2)</f>
        <v>0</v>
      </c>
      <c r="D260" s="472">
        <f t="shared" si="15"/>
        <v>-9.0029094054100871E-14</v>
      </c>
      <c r="E260" s="472">
        <f t="shared" si="16"/>
        <v>9.0029094054100871E-14</v>
      </c>
      <c r="F260" s="470">
        <f t="shared" si="17"/>
        <v>-1.8095847904874273E-11</v>
      </c>
    </row>
    <row r="261" spans="1:6" x14ac:dyDescent="0.2">
      <c r="A261" s="496">
        <f t="shared" si="19"/>
        <v>52871</v>
      </c>
      <c r="B261" s="470">
        <f t="shared" si="18"/>
        <v>-1.8095847904874273E-11</v>
      </c>
      <c r="C261" s="472">
        <f>IF(ROUND(Tableau36[[#This Row],[Solde début période]],2)&lt;=0,0,$D$2)</f>
        <v>0</v>
      </c>
      <c r="D261" s="472">
        <f t="shared" si="15"/>
        <v>-9.047923952437137E-14</v>
      </c>
      <c r="E261" s="472">
        <f t="shared" si="16"/>
        <v>9.047923952437137E-14</v>
      </c>
      <c r="F261" s="470">
        <f t="shared" si="17"/>
        <v>-1.8186327144398645E-11</v>
      </c>
    </row>
    <row r="262" spans="1:6" x14ac:dyDescent="0.2">
      <c r="A262" s="496">
        <f t="shared" si="19"/>
        <v>52902</v>
      </c>
      <c r="B262" s="470">
        <f t="shared" si="18"/>
        <v>-1.8186327144398645E-11</v>
      </c>
      <c r="C262" s="472">
        <f>IF(ROUND(Tableau36[[#This Row],[Solde début période]],2)&lt;=0,0,$D$2)</f>
        <v>0</v>
      </c>
      <c r="D262" s="472">
        <f t="shared" ref="D262:D269" si="20">B262*($B$2/12)</f>
        <v>-9.093163572199323E-14</v>
      </c>
      <c r="E262" s="472">
        <f t="shared" ref="E262:E269" si="21">C262-D262</f>
        <v>9.093163572199323E-14</v>
      </c>
      <c r="F262" s="470">
        <f t="shared" ref="F262:F269" si="22">B262-E262</f>
        <v>-1.8277258780120638E-11</v>
      </c>
    </row>
    <row r="263" spans="1:6" x14ac:dyDescent="0.2">
      <c r="A263" s="496">
        <f t="shared" si="19"/>
        <v>52932</v>
      </c>
      <c r="B263" s="470">
        <f t="shared" ref="B263:B269" si="23">F262</f>
        <v>-1.8277258780120638E-11</v>
      </c>
      <c r="C263" s="472">
        <f>IF(ROUND(Tableau36[[#This Row],[Solde début période]],2)&lt;=0,0,$D$2)</f>
        <v>0</v>
      </c>
      <c r="D263" s="472">
        <f t="shared" si="20"/>
        <v>-9.1386293900603186E-14</v>
      </c>
      <c r="E263" s="472">
        <f t="shared" si="21"/>
        <v>9.1386293900603186E-14</v>
      </c>
      <c r="F263" s="470">
        <f t="shared" si="22"/>
        <v>-1.8368645074021243E-11</v>
      </c>
    </row>
    <row r="264" spans="1:6" x14ac:dyDescent="0.2">
      <c r="A264" s="496">
        <f t="shared" ref="A264:A327" si="24">EDATE(A263,1)</f>
        <v>52963</v>
      </c>
      <c r="B264" s="470">
        <f t="shared" si="23"/>
        <v>-1.8368645074021243E-11</v>
      </c>
      <c r="C264" s="472">
        <f>IF(ROUND(Tableau36[[#This Row],[Solde début période]],2)&lt;=0,0,$D$2)</f>
        <v>0</v>
      </c>
      <c r="D264" s="472">
        <f t="shared" si="20"/>
        <v>-9.184322537010622E-14</v>
      </c>
      <c r="E264" s="472">
        <f t="shared" si="21"/>
        <v>9.184322537010622E-14</v>
      </c>
      <c r="F264" s="470">
        <f t="shared" si="22"/>
        <v>-1.8460488299391348E-11</v>
      </c>
    </row>
    <row r="265" spans="1:6" x14ac:dyDescent="0.2">
      <c r="A265" s="496">
        <f t="shared" si="24"/>
        <v>52994</v>
      </c>
      <c r="B265" s="470">
        <f t="shared" si="23"/>
        <v>-1.8460488299391348E-11</v>
      </c>
      <c r="C265" s="472">
        <f>IF(ROUND(Tableau36[[#This Row],[Solde début période]],2)&lt;=0,0,$D$2)</f>
        <v>0</v>
      </c>
      <c r="D265" s="472">
        <f t="shared" si="20"/>
        <v>-9.230244149695674E-14</v>
      </c>
      <c r="E265" s="472">
        <f t="shared" si="21"/>
        <v>9.230244149695674E-14</v>
      </c>
      <c r="F265" s="470">
        <f t="shared" si="22"/>
        <v>-1.8552790740888305E-11</v>
      </c>
    </row>
    <row r="266" spans="1:6" x14ac:dyDescent="0.2">
      <c r="A266" s="496">
        <f t="shared" si="24"/>
        <v>53022</v>
      </c>
      <c r="B266" s="470">
        <f t="shared" si="23"/>
        <v>-1.8552790740888305E-11</v>
      </c>
      <c r="C266" s="472">
        <f>IF(ROUND(Tableau36[[#This Row],[Solde début période]],2)&lt;=0,0,$D$2)</f>
        <v>0</v>
      </c>
      <c r="D266" s="472">
        <f t="shared" si="20"/>
        <v>-9.2763953704441532E-14</v>
      </c>
      <c r="E266" s="472">
        <f t="shared" si="21"/>
        <v>9.2763953704441532E-14</v>
      </c>
      <c r="F266" s="470">
        <f t="shared" si="22"/>
        <v>-1.8645554694592747E-11</v>
      </c>
    </row>
    <row r="267" spans="1:6" x14ac:dyDescent="0.2">
      <c r="A267" s="496">
        <f t="shared" si="24"/>
        <v>53053</v>
      </c>
      <c r="B267" s="470">
        <f t="shared" si="23"/>
        <v>-1.8645554694592747E-11</v>
      </c>
      <c r="C267" s="472">
        <f>IF(ROUND(Tableau36[[#This Row],[Solde début période]],2)&lt;=0,0,$D$2)</f>
        <v>0</v>
      </c>
      <c r="D267" s="472">
        <f t="shared" si="20"/>
        <v>-9.322777347296374E-14</v>
      </c>
      <c r="E267" s="472">
        <f t="shared" si="21"/>
        <v>9.322777347296374E-14</v>
      </c>
      <c r="F267" s="470">
        <f t="shared" si="22"/>
        <v>-1.873878246806571E-11</v>
      </c>
    </row>
    <row r="268" spans="1:6" x14ac:dyDescent="0.2">
      <c r="A268" s="496">
        <f t="shared" si="24"/>
        <v>53083</v>
      </c>
      <c r="B268" s="470">
        <f t="shared" si="23"/>
        <v>-1.873878246806571E-11</v>
      </c>
      <c r="C268" s="472">
        <f>IF(ROUND(Tableau36[[#This Row],[Solde début période]],2)&lt;=0,0,$D$2)</f>
        <v>0</v>
      </c>
      <c r="D268" s="472">
        <f t="shared" si="20"/>
        <v>-9.3693912340328547E-14</v>
      </c>
      <c r="E268" s="472">
        <f t="shared" si="21"/>
        <v>9.3693912340328547E-14</v>
      </c>
      <c r="F268" s="470">
        <f t="shared" si="22"/>
        <v>-1.8832476380406039E-11</v>
      </c>
    </row>
    <row r="269" spans="1:6" x14ac:dyDescent="0.2">
      <c r="A269" s="496">
        <f t="shared" si="24"/>
        <v>53114</v>
      </c>
      <c r="B269" s="470">
        <f t="shared" si="23"/>
        <v>-1.8832476380406039E-11</v>
      </c>
      <c r="C269" s="472">
        <f>IF(ROUND(Tableau36[[#This Row],[Solde début période]],2)&lt;=0,0,$D$2)</f>
        <v>0</v>
      </c>
      <c r="D269" s="472">
        <f t="shared" si="20"/>
        <v>-9.4162381902030203E-14</v>
      </c>
      <c r="E269" s="472">
        <f t="shared" si="21"/>
        <v>9.4162381902030203E-14</v>
      </c>
      <c r="F269" s="470">
        <f t="shared" si="22"/>
        <v>-1.8926638762308069E-11</v>
      </c>
    </row>
    <row r="270" spans="1:6" x14ac:dyDescent="0.2">
      <c r="A270" s="496">
        <f t="shared" si="24"/>
        <v>53144</v>
      </c>
      <c r="B270" s="470">
        <f t="shared" ref="B270:B284" si="25">F269</f>
        <v>-1.8926638762308069E-11</v>
      </c>
      <c r="C270" s="472">
        <f>IF(ROUND(Tableau36[[#This Row],[Solde début période]],2)&lt;=0,0,$D$2)</f>
        <v>0</v>
      </c>
      <c r="D270" s="472">
        <f t="shared" ref="D270:D284" si="26">B270*($B$2/12)</f>
        <v>-9.4633193811540349E-14</v>
      </c>
      <c r="E270" s="472">
        <f t="shared" ref="E270:E284" si="27">C270-D270</f>
        <v>9.4633193811540349E-14</v>
      </c>
      <c r="F270" s="470">
        <f t="shared" ref="F270:F284" si="28">B270-E270</f>
        <v>-1.902127195611961E-11</v>
      </c>
    </row>
    <row r="271" spans="1:6" x14ac:dyDescent="0.2">
      <c r="A271" s="496">
        <f t="shared" si="24"/>
        <v>53175</v>
      </c>
      <c r="B271" s="470">
        <f t="shared" si="25"/>
        <v>-1.902127195611961E-11</v>
      </c>
      <c r="C271" s="472">
        <f>IF(ROUND(Tableau36[[#This Row],[Solde début période]],2)&lt;=0,0,$D$2)</f>
        <v>0</v>
      </c>
      <c r="D271" s="472">
        <f t="shared" si="26"/>
        <v>-9.5106359780598052E-14</v>
      </c>
      <c r="E271" s="472">
        <f t="shared" si="27"/>
        <v>9.5106359780598052E-14</v>
      </c>
      <c r="F271" s="470">
        <f t="shared" si="28"/>
        <v>-1.9116378315900209E-11</v>
      </c>
    </row>
    <row r="272" spans="1:6" x14ac:dyDescent="0.2">
      <c r="A272" s="496">
        <f t="shared" si="24"/>
        <v>53206</v>
      </c>
      <c r="B272" s="470">
        <f t="shared" si="25"/>
        <v>-1.9116378315900209E-11</v>
      </c>
      <c r="C272" s="472">
        <f>IF(ROUND(Tableau36[[#This Row],[Solde début période]],2)&lt;=0,0,$D$2)</f>
        <v>0</v>
      </c>
      <c r="D272" s="472">
        <f t="shared" si="26"/>
        <v>-9.5581891579501047E-14</v>
      </c>
      <c r="E272" s="472">
        <f t="shared" si="27"/>
        <v>9.5581891579501047E-14</v>
      </c>
      <c r="F272" s="470">
        <f t="shared" si="28"/>
        <v>-1.9211960207479711E-11</v>
      </c>
    </row>
    <row r="273" spans="1:6" x14ac:dyDescent="0.2">
      <c r="A273" s="496">
        <f t="shared" si="24"/>
        <v>53236</v>
      </c>
      <c r="B273" s="470">
        <f t="shared" si="25"/>
        <v>-1.9211960207479711E-11</v>
      </c>
      <c r="C273" s="472">
        <f>IF(ROUND(Tableau36[[#This Row],[Solde début période]],2)&lt;=0,0,$D$2)</f>
        <v>0</v>
      </c>
      <c r="D273" s="472">
        <f t="shared" si="26"/>
        <v>-9.6059801037398558E-14</v>
      </c>
      <c r="E273" s="472">
        <f t="shared" si="27"/>
        <v>9.6059801037398558E-14</v>
      </c>
      <c r="F273" s="470">
        <f t="shared" si="28"/>
        <v>-1.930802000851711E-11</v>
      </c>
    </row>
    <row r="274" spans="1:6" x14ac:dyDescent="0.2">
      <c r="A274" s="496">
        <f t="shared" si="24"/>
        <v>53267</v>
      </c>
      <c r="B274" s="470">
        <f t="shared" si="25"/>
        <v>-1.930802000851711E-11</v>
      </c>
      <c r="C274" s="472">
        <f>IF(ROUND(Tableau36[[#This Row],[Solde début période]],2)&lt;=0,0,$D$2)</f>
        <v>0</v>
      </c>
      <c r="D274" s="472">
        <f t="shared" si="26"/>
        <v>-9.6540100042585557E-14</v>
      </c>
      <c r="E274" s="472">
        <f t="shared" si="27"/>
        <v>9.6540100042585557E-14</v>
      </c>
      <c r="F274" s="470">
        <f t="shared" si="28"/>
        <v>-1.9404560108559695E-11</v>
      </c>
    </row>
    <row r="275" spans="1:6" x14ac:dyDescent="0.2">
      <c r="A275" s="496">
        <f t="shared" si="24"/>
        <v>53297</v>
      </c>
      <c r="B275" s="470">
        <f t="shared" si="25"/>
        <v>-1.9404560108559695E-11</v>
      </c>
      <c r="C275" s="472">
        <f>IF(ROUND(Tableau36[[#This Row],[Solde début période]],2)&lt;=0,0,$D$2)</f>
        <v>0</v>
      </c>
      <c r="D275" s="472">
        <f t="shared" si="26"/>
        <v>-9.7022800542798478E-14</v>
      </c>
      <c r="E275" s="472">
        <f t="shared" si="27"/>
        <v>9.7022800542798478E-14</v>
      </c>
      <c r="F275" s="470">
        <f t="shared" si="28"/>
        <v>-1.9501582909102492E-11</v>
      </c>
    </row>
    <row r="276" spans="1:6" x14ac:dyDescent="0.2">
      <c r="A276" s="496">
        <f t="shared" si="24"/>
        <v>53328</v>
      </c>
      <c r="B276" s="470">
        <f t="shared" si="25"/>
        <v>-1.9501582909102492E-11</v>
      </c>
      <c r="C276" s="472">
        <f>IF(ROUND(Tableau36[[#This Row],[Solde début période]],2)&lt;=0,0,$D$2)</f>
        <v>0</v>
      </c>
      <c r="D276" s="472">
        <f t="shared" si="26"/>
        <v>-9.7507914545512465E-14</v>
      </c>
      <c r="E276" s="472">
        <f t="shared" si="27"/>
        <v>9.7507914545512465E-14</v>
      </c>
      <c r="F276" s="470">
        <f t="shared" si="28"/>
        <v>-1.9599090823648006E-11</v>
      </c>
    </row>
    <row r="277" spans="1:6" x14ac:dyDescent="0.2">
      <c r="A277" s="496">
        <f t="shared" si="24"/>
        <v>53359</v>
      </c>
      <c r="B277" s="470">
        <f t="shared" si="25"/>
        <v>-1.9599090823648006E-11</v>
      </c>
      <c r="C277" s="472">
        <f>IF(ROUND(Tableau36[[#This Row],[Solde début période]],2)&lt;=0,0,$D$2)</f>
        <v>0</v>
      </c>
      <c r="D277" s="472">
        <f t="shared" si="26"/>
        <v>-9.7995454118240036E-14</v>
      </c>
      <c r="E277" s="472">
        <f t="shared" si="27"/>
        <v>9.7995454118240036E-14</v>
      </c>
      <c r="F277" s="470">
        <f t="shared" si="28"/>
        <v>-1.9697086277766247E-11</v>
      </c>
    </row>
    <row r="278" spans="1:6" x14ac:dyDescent="0.2">
      <c r="A278" s="496">
        <f t="shared" si="24"/>
        <v>53387</v>
      </c>
      <c r="B278" s="470">
        <f t="shared" si="25"/>
        <v>-1.9697086277766247E-11</v>
      </c>
      <c r="C278" s="472">
        <f>IF(ROUND(Tableau36[[#This Row],[Solde début période]],2)&lt;=0,0,$D$2)</f>
        <v>0</v>
      </c>
      <c r="D278" s="472">
        <f t="shared" si="26"/>
        <v>-9.8485431388831232E-14</v>
      </c>
      <c r="E278" s="472">
        <f t="shared" si="27"/>
        <v>9.8485431388831232E-14</v>
      </c>
      <c r="F278" s="470">
        <f t="shared" si="28"/>
        <v>-1.9795571709155078E-11</v>
      </c>
    </row>
    <row r="279" spans="1:6" x14ac:dyDescent="0.2">
      <c r="A279" s="496">
        <f t="shared" si="24"/>
        <v>53418</v>
      </c>
      <c r="B279" s="470">
        <f t="shared" si="25"/>
        <v>-1.9795571709155078E-11</v>
      </c>
      <c r="C279" s="472">
        <f>IF(ROUND(Tableau36[[#This Row],[Solde début période]],2)&lt;=0,0,$D$2)</f>
        <v>0</v>
      </c>
      <c r="D279" s="472">
        <f t="shared" si="26"/>
        <v>-9.8977858545775392E-14</v>
      </c>
      <c r="E279" s="472">
        <f t="shared" si="27"/>
        <v>9.8977858545775392E-14</v>
      </c>
      <c r="F279" s="470">
        <f t="shared" si="28"/>
        <v>-1.9894549567700854E-11</v>
      </c>
    </row>
    <row r="280" spans="1:6" x14ac:dyDescent="0.2">
      <c r="A280" s="496">
        <f t="shared" si="24"/>
        <v>53448</v>
      </c>
      <c r="B280" s="470">
        <f t="shared" si="25"/>
        <v>-1.9894549567700854E-11</v>
      </c>
      <c r="C280" s="472">
        <f>IF(ROUND(Tableau36[[#This Row],[Solde début période]],2)&lt;=0,0,$D$2)</f>
        <v>0</v>
      </c>
      <c r="D280" s="472">
        <f t="shared" si="26"/>
        <v>-9.9472747838504271E-14</v>
      </c>
      <c r="E280" s="472">
        <f t="shared" si="27"/>
        <v>9.9472747838504271E-14</v>
      </c>
      <c r="F280" s="470">
        <f t="shared" si="28"/>
        <v>-1.9994022315539359E-11</v>
      </c>
    </row>
    <row r="281" spans="1:6" x14ac:dyDescent="0.2">
      <c r="A281" s="496">
        <f t="shared" si="24"/>
        <v>53479</v>
      </c>
      <c r="B281" s="470">
        <f t="shared" si="25"/>
        <v>-1.9994022315539359E-11</v>
      </c>
      <c r="C281" s="472">
        <f>IF(ROUND(Tableau36[[#This Row],[Solde début période]],2)&lt;=0,0,$D$2)</f>
        <v>0</v>
      </c>
      <c r="D281" s="472">
        <f t="shared" si="26"/>
        <v>-9.9970111577696802E-14</v>
      </c>
      <c r="E281" s="472">
        <f t="shared" si="27"/>
        <v>9.9970111577696802E-14</v>
      </c>
      <c r="F281" s="470">
        <f t="shared" si="28"/>
        <v>-2.0093992427117054E-11</v>
      </c>
    </row>
    <row r="282" spans="1:6" x14ac:dyDescent="0.2">
      <c r="A282" s="496">
        <f t="shared" si="24"/>
        <v>53509</v>
      </c>
      <c r="B282" s="470">
        <f t="shared" si="25"/>
        <v>-2.0093992427117054E-11</v>
      </c>
      <c r="C282" s="472">
        <f>IF(ROUND(Tableau36[[#This Row],[Solde début période]],2)&lt;=0,0,$D$2)</f>
        <v>0</v>
      </c>
      <c r="D282" s="472">
        <f t="shared" si="26"/>
        <v>-1.0046996213558528E-13</v>
      </c>
      <c r="E282" s="472">
        <f t="shared" si="27"/>
        <v>1.0046996213558528E-13</v>
      </c>
      <c r="F282" s="470">
        <f t="shared" si="28"/>
        <v>-2.019446238925264E-11</v>
      </c>
    </row>
    <row r="283" spans="1:6" x14ac:dyDescent="0.2">
      <c r="A283" s="496">
        <f t="shared" si="24"/>
        <v>53540</v>
      </c>
      <c r="B283" s="470">
        <f t="shared" si="25"/>
        <v>-2.019446238925264E-11</v>
      </c>
      <c r="C283" s="472">
        <f>IF(ROUND(Tableau36[[#This Row],[Solde début période]],2)&lt;=0,0,$D$2)</f>
        <v>0</v>
      </c>
      <c r="D283" s="472">
        <f t="shared" si="26"/>
        <v>-1.0097231194626321E-13</v>
      </c>
      <c r="E283" s="472">
        <f t="shared" si="27"/>
        <v>1.0097231194626321E-13</v>
      </c>
      <c r="F283" s="470">
        <f t="shared" si="28"/>
        <v>-2.0295434701198903E-11</v>
      </c>
    </row>
    <row r="284" spans="1:6" x14ac:dyDescent="0.2">
      <c r="A284" s="496">
        <f t="shared" si="24"/>
        <v>53571</v>
      </c>
      <c r="B284" s="470">
        <f t="shared" si="25"/>
        <v>-2.0295434701198903E-11</v>
      </c>
      <c r="C284" s="472">
        <f>IF(ROUND(Tableau36[[#This Row],[Solde début période]],2)&lt;=0,0,$D$2)</f>
        <v>0</v>
      </c>
      <c r="D284" s="472">
        <f t="shared" si="26"/>
        <v>-1.0147717350599452E-13</v>
      </c>
      <c r="E284" s="472">
        <f t="shared" si="27"/>
        <v>1.0147717350599452E-13</v>
      </c>
      <c r="F284" s="470">
        <f t="shared" si="28"/>
        <v>-2.0396911874704897E-11</v>
      </c>
    </row>
    <row r="285" spans="1:6" x14ac:dyDescent="0.2">
      <c r="A285" s="496">
        <f t="shared" si="24"/>
        <v>53601</v>
      </c>
      <c r="B285" s="470">
        <f t="shared" ref="B285:B295" si="29">F284</f>
        <v>-2.0396911874704897E-11</v>
      </c>
      <c r="C285" s="472">
        <f>IF(ROUND(Tableau36[[#This Row],[Solde début période]],2)&lt;=0,0,$D$2)</f>
        <v>0</v>
      </c>
      <c r="D285" s="472">
        <f t="shared" ref="D285:D295" si="30">B285*($B$2/12)</f>
        <v>-1.0198455937352449E-13</v>
      </c>
      <c r="E285" s="472">
        <f t="shared" ref="E285:E295" si="31">C285-D285</f>
        <v>1.0198455937352449E-13</v>
      </c>
      <c r="F285" s="470">
        <f t="shared" ref="F285:F295" si="32">B285-E285</f>
        <v>-2.0498896434078423E-11</v>
      </c>
    </row>
    <row r="286" spans="1:6" x14ac:dyDescent="0.2">
      <c r="A286" s="496">
        <f t="shared" si="24"/>
        <v>53632</v>
      </c>
      <c r="B286" s="470">
        <f t="shared" si="29"/>
        <v>-2.0498896434078423E-11</v>
      </c>
      <c r="C286" s="472">
        <f>IF(ROUND(Tableau36[[#This Row],[Solde début période]],2)&lt;=0,0,$D$2)</f>
        <v>0</v>
      </c>
      <c r="D286" s="472">
        <f t="shared" si="30"/>
        <v>-1.0249448217039211E-13</v>
      </c>
      <c r="E286" s="472">
        <f t="shared" si="31"/>
        <v>1.0249448217039211E-13</v>
      </c>
      <c r="F286" s="470">
        <f t="shared" si="32"/>
        <v>-2.0601390916248813E-11</v>
      </c>
    </row>
    <row r="287" spans="1:6" x14ac:dyDescent="0.2">
      <c r="A287" s="496">
        <f t="shared" si="24"/>
        <v>53662</v>
      </c>
      <c r="B287" s="470">
        <f t="shared" si="29"/>
        <v>-2.0601390916248813E-11</v>
      </c>
      <c r="C287" s="472">
        <f>IF(ROUND(Tableau36[[#This Row],[Solde début période]],2)&lt;=0,0,$D$2)</f>
        <v>0</v>
      </c>
      <c r="D287" s="472">
        <f t="shared" si="30"/>
        <v>-1.0300695458124406E-13</v>
      </c>
      <c r="E287" s="472">
        <f t="shared" si="31"/>
        <v>1.0300695458124406E-13</v>
      </c>
      <c r="F287" s="470">
        <f t="shared" si="32"/>
        <v>-2.0704397870830057E-11</v>
      </c>
    </row>
    <row r="288" spans="1:6" x14ac:dyDescent="0.2">
      <c r="A288" s="496">
        <f t="shared" si="24"/>
        <v>53693</v>
      </c>
      <c r="B288" s="470">
        <f t="shared" si="29"/>
        <v>-2.0704397870830057E-11</v>
      </c>
      <c r="C288" s="472">
        <f>IF(ROUND(Tableau36[[#This Row],[Solde début période]],2)&lt;=0,0,$D$2)</f>
        <v>0</v>
      </c>
      <c r="D288" s="472">
        <f t="shared" si="30"/>
        <v>-1.0352198935415028E-13</v>
      </c>
      <c r="E288" s="472">
        <f t="shared" si="31"/>
        <v>1.0352198935415028E-13</v>
      </c>
      <c r="F288" s="470">
        <f t="shared" si="32"/>
        <v>-2.0807919860184206E-11</v>
      </c>
    </row>
    <row r="289" spans="1:6" x14ac:dyDescent="0.2">
      <c r="A289" s="496">
        <f t="shared" si="24"/>
        <v>53724</v>
      </c>
      <c r="B289" s="470">
        <f t="shared" si="29"/>
        <v>-2.0807919860184206E-11</v>
      </c>
      <c r="C289" s="472">
        <f>IF(ROUND(Tableau36[[#This Row],[Solde début période]],2)&lt;=0,0,$D$2)</f>
        <v>0</v>
      </c>
      <c r="D289" s="472">
        <f t="shared" si="30"/>
        <v>-1.0403959930092103E-13</v>
      </c>
      <c r="E289" s="472">
        <f t="shared" si="31"/>
        <v>1.0403959930092103E-13</v>
      </c>
      <c r="F289" s="470">
        <f t="shared" si="32"/>
        <v>-2.0911959459485126E-11</v>
      </c>
    </row>
    <row r="290" spans="1:6" x14ac:dyDescent="0.2">
      <c r="A290" s="496">
        <f t="shared" si="24"/>
        <v>53752</v>
      </c>
      <c r="B290" s="470">
        <f t="shared" si="29"/>
        <v>-2.0911959459485126E-11</v>
      </c>
      <c r="C290" s="472">
        <f>IF(ROUND(Tableau36[[#This Row],[Solde début période]],2)&lt;=0,0,$D$2)</f>
        <v>0</v>
      </c>
      <c r="D290" s="472">
        <f t="shared" si="30"/>
        <v>-1.0455979729742563E-13</v>
      </c>
      <c r="E290" s="472">
        <f t="shared" si="31"/>
        <v>1.0455979729742563E-13</v>
      </c>
      <c r="F290" s="470">
        <f t="shared" si="32"/>
        <v>-2.1016519256782552E-11</v>
      </c>
    </row>
    <row r="291" spans="1:6" x14ac:dyDescent="0.2">
      <c r="A291" s="496">
        <f t="shared" si="24"/>
        <v>53783</v>
      </c>
      <c r="B291" s="470">
        <f t="shared" si="29"/>
        <v>-2.1016519256782552E-11</v>
      </c>
      <c r="C291" s="472">
        <f>IF(ROUND(Tableau36[[#This Row],[Solde début période]],2)&lt;=0,0,$D$2)</f>
        <v>0</v>
      </c>
      <c r="D291" s="472">
        <f t="shared" si="30"/>
        <v>-1.0508259628391276E-13</v>
      </c>
      <c r="E291" s="472">
        <f t="shared" si="31"/>
        <v>1.0508259628391276E-13</v>
      </c>
      <c r="F291" s="470">
        <f t="shared" si="32"/>
        <v>-2.1121601853066465E-11</v>
      </c>
    </row>
    <row r="292" spans="1:6" x14ac:dyDescent="0.2">
      <c r="A292" s="496">
        <f t="shared" si="24"/>
        <v>53813</v>
      </c>
      <c r="B292" s="470">
        <f t="shared" si="29"/>
        <v>-2.1121601853066465E-11</v>
      </c>
      <c r="C292" s="472">
        <f>IF(ROUND(Tableau36[[#This Row],[Solde début période]],2)&lt;=0,0,$D$2)</f>
        <v>0</v>
      </c>
      <c r="D292" s="472">
        <f t="shared" si="30"/>
        <v>-1.0560800926533232E-13</v>
      </c>
      <c r="E292" s="472">
        <f t="shared" si="31"/>
        <v>1.0560800926533232E-13</v>
      </c>
      <c r="F292" s="470">
        <f t="shared" si="32"/>
        <v>-2.1227209862331797E-11</v>
      </c>
    </row>
    <row r="293" spans="1:6" x14ac:dyDescent="0.2">
      <c r="A293" s="496">
        <f t="shared" si="24"/>
        <v>53844</v>
      </c>
      <c r="B293" s="470">
        <f t="shared" si="29"/>
        <v>-2.1227209862331797E-11</v>
      </c>
      <c r="C293" s="472">
        <f>IF(ROUND(Tableau36[[#This Row],[Solde début période]],2)&lt;=0,0,$D$2)</f>
        <v>0</v>
      </c>
      <c r="D293" s="472">
        <f t="shared" si="30"/>
        <v>-1.0613604931165899E-13</v>
      </c>
      <c r="E293" s="472">
        <f t="shared" si="31"/>
        <v>1.0613604931165899E-13</v>
      </c>
      <c r="F293" s="470">
        <f t="shared" si="32"/>
        <v>-2.1333345911643457E-11</v>
      </c>
    </row>
    <row r="294" spans="1:6" x14ac:dyDescent="0.2">
      <c r="A294" s="496">
        <f t="shared" si="24"/>
        <v>53874</v>
      </c>
      <c r="B294" s="470">
        <f t="shared" si="29"/>
        <v>-2.1333345911643457E-11</v>
      </c>
      <c r="C294" s="472">
        <f>IF(ROUND(Tableau36[[#This Row],[Solde début période]],2)&lt;=0,0,$D$2)</f>
        <v>0</v>
      </c>
      <c r="D294" s="472">
        <f t="shared" si="30"/>
        <v>-1.0666672955821729E-13</v>
      </c>
      <c r="E294" s="472">
        <f t="shared" si="31"/>
        <v>1.0666672955821729E-13</v>
      </c>
      <c r="F294" s="470">
        <f t="shared" si="32"/>
        <v>-2.1440012641201676E-11</v>
      </c>
    </row>
    <row r="295" spans="1:6" x14ac:dyDescent="0.2">
      <c r="A295" s="496">
        <f t="shared" si="24"/>
        <v>53905</v>
      </c>
      <c r="B295" s="470">
        <f t="shared" si="29"/>
        <v>-2.1440012641201676E-11</v>
      </c>
      <c r="C295" s="472">
        <f>IF(ROUND(Tableau36[[#This Row],[Solde début période]],2)&lt;=0,0,$D$2)</f>
        <v>0</v>
      </c>
      <c r="D295" s="472">
        <f t="shared" si="30"/>
        <v>-1.0720006320600838E-13</v>
      </c>
      <c r="E295" s="472">
        <f t="shared" si="31"/>
        <v>1.0720006320600838E-13</v>
      </c>
      <c r="F295" s="470">
        <f t="shared" si="32"/>
        <v>-2.1547212704407683E-11</v>
      </c>
    </row>
    <row r="296" spans="1:6" x14ac:dyDescent="0.2">
      <c r="A296" s="496">
        <f t="shared" si="24"/>
        <v>53936</v>
      </c>
      <c r="B296" s="470">
        <f t="shared" ref="B296:B300" si="33">F295</f>
        <v>-2.1547212704407683E-11</v>
      </c>
      <c r="C296" s="472">
        <f>IF(ROUND(Tableau36[[#This Row],[Solde début période]],2)&lt;=0,0,$D$2)</f>
        <v>0</v>
      </c>
      <c r="D296" s="472">
        <f t="shared" ref="D296:D300" si="34">B296*($B$2/12)</f>
        <v>-1.0773606352203842E-13</v>
      </c>
      <c r="E296" s="472">
        <f t="shared" ref="E296:E300" si="35">C296-D296</f>
        <v>1.0773606352203842E-13</v>
      </c>
      <c r="F296" s="470">
        <f t="shared" ref="F296:F300" si="36">B296-E296</f>
        <v>-2.1654948767929721E-11</v>
      </c>
    </row>
    <row r="297" spans="1:6" x14ac:dyDescent="0.2">
      <c r="A297" s="496">
        <f t="shared" si="24"/>
        <v>53966</v>
      </c>
      <c r="B297" s="470">
        <f t="shared" si="33"/>
        <v>-2.1654948767929721E-11</v>
      </c>
      <c r="C297" s="472">
        <f>IF(ROUND(Tableau36[[#This Row],[Solde début période]],2)&lt;=0,0,$D$2)</f>
        <v>0</v>
      </c>
      <c r="D297" s="472">
        <f t="shared" si="34"/>
        <v>-1.082747438396486E-13</v>
      </c>
      <c r="E297" s="472">
        <f t="shared" si="35"/>
        <v>1.082747438396486E-13</v>
      </c>
      <c r="F297" s="470">
        <f t="shared" si="36"/>
        <v>-2.1763223511769369E-11</v>
      </c>
    </row>
    <row r="298" spans="1:6" x14ac:dyDescent="0.2">
      <c r="A298" s="496">
        <f t="shared" si="24"/>
        <v>53997</v>
      </c>
      <c r="B298" s="470">
        <f t="shared" si="33"/>
        <v>-2.1763223511769369E-11</v>
      </c>
      <c r="C298" s="472">
        <f>IF(ROUND(Tableau36[[#This Row],[Solde début période]],2)&lt;=0,0,$D$2)</f>
        <v>0</v>
      </c>
      <c r="D298" s="472">
        <f t="shared" si="34"/>
        <v>-1.0881611755884685E-13</v>
      </c>
      <c r="E298" s="472">
        <f t="shared" si="35"/>
        <v>1.0881611755884685E-13</v>
      </c>
      <c r="F298" s="470">
        <f t="shared" si="36"/>
        <v>-2.1872039629328214E-11</v>
      </c>
    </row>
    <row r="299" spans="1:6" x14ac:dyDescent="0.2">
      <c r="A299" s="496">
        <f t="shared" si="24"/>
        <v>54027</v>
      </c>
      <c r="B299" s="470">
        <f t="shared" si="33"/>
        <v>-2.1872039629328214E-11</v>
      </c>
      <c r="C299" s="472">
        <f>IF(ROUND(Tableau36[[#This Row],[Solde début période]],2)&lt;=0,0,$D$2)</f>
        <v>0</v>
      </c>
      <c r="D299" s="472">
        <f t="shared" si="34"/>
        <v>-1.0936019814664108E-13</v>
      </c>
      <c r="E299" s="472">
        <f t="shared" si="35"/>
        <v>1.0936019814664108E-13</v>
      </c>
      <c r="F299" s="470">
        <f t="shared" si="36"/>
        <v>-2.1981399827474854E-11</v>
      </c>
    </row>
    <row r="300" spans="1:6" x14ac:dyDescent="0.2">
      <c r="A300" s="496">
        <f t="shared" si="24"/>
        <v>54058</v>
      </c>
      <c r="B300" s="470">
        <f t="shared" si="33"/>
        <v>-2.1981399827474854E-11</v>
      </c>
      <c r="C300" s="472">
        <f>IF(ROUND(Tableau36[[#This Row],[Solde début période]],2)&lt;=0,0,$D$2)</f>
        <v>0</v>
      </c>
      <c r="D300" s="472">
        <f t="shared" si="34"/>
        <v>-1.0990699913737427E-13</v>
      </c>
      <c r="E300" s="472">
        <f t="shared" si="35"/>
        <v>1.0990699913737427E-13</v>
      </c>
      <c r="F300" s="470">
        <f t="shared" si="36"/>
        <v>-2.2091306826612229E-11</v>
      </c>
    </row>
    <row r="301" spans="1:6" x14ac:dyDescent="0.2">
      <c r="A301" s="496">
        <f t="shared" si="24"/>
        <v>54089</v>
      </c>
      <c r="B301" s="470">
        <f t="shared" ref="B301:B364" si="37">F300</f>
        <v>-2.2091306826612229E-11</v>
      </c>
      <c r="C301" s="472">
        <f>IF(ROUND(Tableau36[[#This Row],[Solde début période]],2)&lt;=0,0,$D$2)</f>
        <v>0</v>
      </c>
      <c r="D301" s="472">
        <f t="shared" ref="D301:D364" si="38">B301*($B$2/12)</f>
        <v>-1.1045653413306114E-13</v>
      </c>
      <c r="E301" s="472">
        <f t="shared" ref="E301:E364" si="39">C301-D301</f>
        <v>1.1045653413306114E-13</v>
      </c>
      <c r="F301" s="470">
        <f t="shared" ref="F301:F364" si="40">B301-E301</f>
        <v>-2.2201763360745289E-11</v>
      </c>
    </row>
    <row r="302" spans="1:6" x14ac:dyDescent="0.2">
      <c r="A302" s="496">
        <f t="shared" si="24"/>
        <v>54118</v>
      </c>
      <c r="B302" s="470">
        <f t="shared" si="37"/>
        <v>-2.2201763360745289E-11</v>
      </c>
      <c r="C302" s="472">
        <f>IF(ROUND(Tableau36[[#This Row],[Solde début période]],2)&lt;=0,0,$D$2)</f>
        <v>0</v>
      </c>
      <c r="D302" s="472">
        <f t="shared" si="38"/>
        <v>-1.1100881680372645E-13</v>
      </c>
      <c r="E302" s="472">
        <f t="shared" si="39"/>
        <v>1.1100881680372645E-13</v>
      </c>
      <c r="F302" s="470">
        <f t="shared" si="40"/>
        <v>-2.2312772177549015E-11</v>
      </c>
    </row>
    <row r="303" spans="1:6" x14ac:dyDescent="0.2">
      <c r="A303" s="496">
        <f t="shared" si="24"/>
        <v>54149</v>
      </c>
      <c r="B303" s="470">
        <f t="shared" si="37"/>
        <v>-2.2312772177549015E-11</v>
      </c>
      <c r="C303" s="472">
        <f>IF(ROUND(Tableau36[[#This Row],[Solde début période]],2)&lt;=0,0,$D$2)</f>
        <v>0</v>
      </c>
      <c r="D303" s="472">
        <f t="shared" si="38"/>
        <v>-1.1156386088774508E-13</v>
      </c>
      <c r="E303" s="472">
        <f t="shared" si="39"/>
        <v>1.1156386088774508E-13</v>
      </c>
      <c r="F303" s="470">
        <f t="shared" si="40"/>
        <v>-2.2424336038436761E-11</v>
      </c>
    </row>
    <row r="304" spans="1:6" x14ac:dyDescent="0.2">
      <c r="A304" s="496">
        <f t="shared" si="24"/>
        <v>54179</v>
      </c>
      <c r="B304" s="470">
        <f t="shared" si="37"/>
        <v>-2.2424336038436761E-11</v>
      </c>
      <c r="C304" s="472">
        <f>IF(ROUND(Tableau36[[#This Row],[Solde début période]],2)&lt;=0,0,$D$2)</f>
        <v>0</v>
      </c>
      <c r="D304" s="472">
        <f t="shared" si="38"/>
        <v>-1.121216801921838E-13</v>
      </c>
      <c r="E304" s="472">
        <f t="shared" si="39"/>
        <v>1.121216801921838E-13</v>
      </c>
      <c r="F304" s="470">
        <f t="shared" si="40"/>
        <v>-2.2536457718628945E-11</v>
      </c>
    </row>
    <row r="305" spans="1:6" x14ac:dyDescent="0.2">
      <c r="A305" s="496">
        <f t="shared" si="24"/>
        <v>54210</v>
      </c>
      <c r="B305" s="470">
        <f t="shared" si="37"/>
        <v>-2.2536457718628945E-11</v>
      </c>
      <c r="C305" s="472">
        <f>IF(ROUND(Tableau36[[#This Row],[Solde début période]],2)&lt;=0,0,$D$2)</f>
        <v>0</v>
      </c>
      <c r="D305" s="472">
        <f t="shared" si="38"/>
        <v>-1.1268228859314473E-13</v>
      </c>
      <c r="E305" s="472">
        <f t="shared" si="39"/>
        <v>1.1268228859314473E-13</v>
      </c>
      <c r="F305" s="470">
        <f t="shared" si="40"/>
        <v>-2.264914000722209E-11</v>
      </c>
    </row>
    <row r="306" spans="1:6" x14ac:dyDescent="0.2">
      <c r="A306" s="496">
        <f t="shared" si="24"/>
        <v>54240</v>
      </c>
      <c r="B306" s="470">
        <f t="shared" si="37"/>
        <v>-2.264914000722209E-11</v>
      </c>
      <c r="C306" s="472">
        <f>IF(ROUND(Tableau36[[#This Row],[Solde début période]],2)&lt;=0,0,$D$2)</f>
        <v>0</v>
      </c>
      <c r="D306" s="472">
        <f t="shared" si="38"/>
        <v>-1.1324570003611046E-13</v>
      </c>
      <c r="E306" s="472">
        <f t="shared" si="39"/>
        <v>1.1324570003611046E-13</v>
      </c>
      <c r="F306" s="470">
        <f t="shared" si="40"/>
        <v>-2.2762385707258201E-11</v>
      </c>
    </row>
    <row r="307" spans="1:6" x14ac:dyDescent="0.2">
      <c r="A307" s="496">
        <f t="shared" si="24"/>
        <v>54271</v>
      </c>
      <c r="B307" s="470">
        <f t="shared" si="37"/>
        <v>-2.2762385707258201E-11</v>
      </c>
      <c r="C307" s="472">
        <f>IF(ROUND(Tableau36[[#This Row],[Solde début période]],2)&lt;=0,0,$D$2)</f>
        <v>0</v>
      </c>
      <c r="D307" s="472">
        <f t="shared" si="38"/>
        <v>-1.13811928536291E-13</v>
      </c>
      <c r="E307" s="472">
        <f t="shared" si="39"/>
        <v>1.13811928536291E-13</v>
      </c>
      <c r="F307" s="470">
        <f t="shared" si="40"/>
        <v>-2.2876197635794491E-11</v>
      </c>
    </row>
    <row r="308" spans="1:6" x14ac:dyDescent="0.2">
      <c r="A308" s="496">
        <f t="shared" si="24"/>
        <v>54302</v>
      </c>
      <c r="B308" s="470">
        <f t="shared" si="37"/>
        <v>-2.2876197635794491E-11</v>
      </c>
      <c r="C308" s="472">
        <f>IF(ROUND(Tableau36[[#This Row],[Solde début période]],2)&lt;=0,0,$D$2)</f>
        <v>0</v>
      </c>
      <c r="D308" s="472">
        <f t="shared" si="38"/>
        <v>-1.1438098817897246E-13</v>
      </c>
      <c r="E308" s="472">
        <f t="shared" si="39"/>
        <v>1.1438098817897246E-13</v>
      </c>
      <c r="F308" s="470">
        <f t="shared" si="40"/>
        <v>-2.2990578623973462E-11</v>
      </c>
    </row>
    <row r="309" spans="1:6" x14ac:dyDescent="0.2">
      <c r="A309" s="496">
        <f t="shared" si="24"/>
        <v>54332</v>
      </c>
      <c r="B309" s="470">
        <f t="shared" si="37"/>
        <v>-2.2990578623973462E-11</v>
      </c>
      <c r="C309" s="472">
        <f>IF(ROUND(Tableau36[[#This Row],[Solde début période]],2)&lt;=0,0,$D$2)</f>
        <v>0</v>
      </c>
      <c r="D309" s="472">
        <f t="shared" si="38"/>
        <v>-1.1495289311986731E-13</v>
      </c>
      <c r="E309" s="472">
        <f t="shared" si="39"/>
        <v>1.1495289311986731E-13</v>
      </c>
      <c r="F309" s="470">
        <f t="shared" si="40"/>
        <v>-2.3105531517093329E-11</v>
      </c>
    </row>
    <row r="310" spans="1:6" x14ac:dyDescent="0.2">
      <c r="A310" s="496">
        <f t="shared" si="24"/>
        <v>54363</v>
      </c>
      <c r="B310" s="470">
        <f t="shared" si="37"/>
        <v>-2.3105531517093329E-11</v>
      </c>
      <c r="C310" s="472">
        <f>IF(ROUND(Tableau36[[#This Row],[Solde début période]],2)&lt;=0,0,$D$2)</f>
        <v>0</v>
      </c>
      <c r="D310" s="472">
        <f t="shared" si="38"/>
        <v>-1.1552765758546664E-13</v>
      </c>
      <c r="E310" s="472">
        <f t="shared" si="39"/>
        <v>1.1552765758546664E-13</v>
      </c>
      <c r="F310" s="470">
        <f t="shared" si="40"/>
        <v>-2.3221059174678795E-11</v>
      </c>
    </row>
    <row r="311" spans="1:6" x14ac:dyDescent="0.2">
      <c r="A311" s="496">
        <f t="shared" si="24"/>
        <v>54393</v>
      </c>
      <c r="B311" s="470">
        <f t="shared" si="37"/>
        <v>-2.3221059174678795E-11</v>
      </c>
      <c r="C311" s="472">
        <f>IF(ROUND(Tableau36[[#This Row],[Solde début période]],2)&lt;=0,0,$D$2)</f>
        <v>0</v>
      </c>
      <c r="D311" s="472">
        <f t="shared" si="38"/>
        <v>-1.1610529587339397E-13</v>
      </c>
      <c r="E311" s="472">
        <f t="shared" si="39"/>
        <v>1.1610529587339397E-13</v>
      </c>
      <c r="F311" s="470">
        <f t="shared" si="40"/>
        <v>-2.3337164470552191E-11</v>
      </c>
    </row>
    <row r="312" spans="1:6" x14ac:dyDescent="0.2">
      <c r="A312" s="496">
        <f t="shared" si="24"/>
        <v>54424</v>
      </c>
      <c r="B312" s="470">
        <f t="shared" si="37"/>
        <v>-2.3337164470552191E-11</v>
      </c>
      <c r="C312" s="472">
        <f>IF(ROUND(Tableau36[[#This Row],[Solde début période]],2)&lt;=0,0,$D$2)</f>
        <v>0</v>
      </c>
      <c r="D312" s="472">
        <f t="shared" si="38"/>
        <v>-1.1668582235276096E-13</v>
      </c>
      <c r="E312" s="472">
        <f t="shared" si="39"/>
        <v>1.1668582235276096E-13</v>
      </c>
      <c r="F312" s="470">
        <f t="shared" si="40"/>
        <v>-2.3453850292904952E-11</v>
      </c>
    </row>
    <row r="313" spans="1:6" x14ac:dyDescent="0.2">
      <c r="A313" s="496">
        <f t="shared" si="24"/>
        <v>54455</v>
      </c>
      <c r="B313" s="470">
        <f t="shared" si="37"/>
        <v>-2.3453850292904952E-11</v>
      </c>
      <c r="C313" s="472">
        <f>IF(ROUND(Tableau36[[#This Row],[Solde début période]],2)&lt;=0,0,$D$2)</f>
        <v>0</v>
      </c>
      <c r="D313" s="472">
        <f t="shared" si="38"/>
        <v>-1.1726925146452477E-13</v>
      </c>
      <c r="E313" s="472">
        <f t="shared" si="39"/>
        <v>1.1726925146452477E-13</v>
      </c>
      <c r="F313" s="470">
        <f t="shared" si="40"/>
        <v>-2.3571119544369476E-11</v>
      </c>
    </row>
    <row r="314" spans="1:6" x14ac:dyDescent="0.2">
      <c r="A314" s="496">
        <f t="shared" si="24"/>
        <v>54483</v>
      </c>
      <c r="B314" s="470">
        <f t="shared" si="37"/>
        <v>-2.3571119544369476E-11</v>
      </c>
      <c r="C314" s="472">
        <f>IF(ROUND(Tableau36[[#This Row],[Solde début période]],2)&lt;=0,0,$D$2)</f>
        <v>0</v>
      </c>
      <c r="D314" s="472">
        <f t="shared" si="38"/>
        <v>-1.1785559772184738E-13</v>
      </c>
      <c r="E314" s="472">
        <f t="shared" si="39"/>
        <v>1.1785559772184738E-13</v>
      </c>
      <c r="F314" s="470">
        <f t="shared" si="40"/>
        <v>-2.3688975142091322E-11</v>
      </c>
    </row>
    <row r="315" spans="1:6" x14ac:dyDescent="0.2">
      <c r="A315" s="496">
        <f t="shared" si="24"/>
        <v>54514</v>
      </c>
      <c r="B315" s="470">
        <f t="shared" si="37"/>
        <v>-2.3688975142091322E-11</v>
      </c>
      <c r="C315" s="472">
        <f>IF(ROUND(Tableau36[[#This Row],[Solde début période]],2)&lt;=0,0,$D$2)</f>
        <v>0</v>
      </c>
      <c r="D315" s="472">
        <f t="shared" si="38"/>
        <v>-1.1844487571045662E-13</v>
      </c>
      <c r="E315" s="472">
        <f t="shared" si="39"/>
        <v>1.1844487571045662E-13</v>
      </c>
      <c r="F315" s="470">
        <f t="shared" si="40"/>
        <v>-2.380742001780178E-11</v>
      </c>
    </row>
    <row r="316" spans="1:6" x14ac:dyDescent="0.2">
      <c r="A316" s="496">
        <f t="shared" si="24"/>
        <v>54544</v>
      </c>
      <c r="B316" s="470">
        <f t="shared" si="37"/>
        <v>-2.380742001780178E-11</v>
      </c>
      <c r="C316" s="472">
        <f>IF(ROUND(Tableau36[[#This Row],[Solde début période]],2)&lt;=0,0,$D$2)</f>
        <v>0</v>
      </c>
      <c r="D316" s="472">
        <f t="shared" si="38"/>
        <v>-1.1903710008900891E-13</v>
      </c>
      <c r="E316" s="472">
        <f t="shared" si="39"/>
        <v>1.1903710008900891E-13</v>
      </c>
      <c r="F316" s="470">
        <f t="shared" si="40"/>
        <v>-2.3926457117890788E-11</v>
      </c>
    </row>
    <row r="317" spans="1:6" x14ac:dyDescent="0.2">
      <c r="A317" s="496">
        <f t="shared" si="24"/>
        <v>54575</v>
      </c>
      <c r="B317" s="470">
        <f t="shared" si="37"/>
        <v>-2.3926457117890788E-11</v>
      </c>
      <c r="C317" s="472">
        <f>IF(ROUND(Tableau36[[#This Row],[Solde début période]],2)&lt;=0,0,$D$2)</f>
        <v>0</v>
      </c>
      <c r="D317" s="472">
        <f t="shared" si="38"/>
        <v>-1.1963228558945394E-13</v>
      </c>
      <c r="E317" s="472">
        <f t="shared" si="39"/>
        <v>1.1963228558945394E-13</v>
      </c>
      <c r="F317" s="470">
        <f t="shared" si="40"/>
        <v>-2.4046089403480241E-11</v>
      </c>
    </row>
    <row r="318" spans="1:6" x14ac:dyDescent="0.2">
      <c r="A318" s="496">
        <f t="shared" si="24"/>
        <v>54605</v>
      </c>
      <c r="B318" s="470">
        <f t="shared" si="37"/>
        <v>-2.4046089403480241E-11</v>
      </c>
      <c r="C318" s="472">
        <f>IF(ROUND(Tableau36[[#This Row],[Solde début période]],2)&lt;=0,0,$D$2)</f>
        <v>0</v>
      </c>
      <c r="D318" s="472">
        <f t="shared" si="38"/>
        <v>-1.202304470174012E-13</v>
      </c>
      <c r="E318" s="472">
        <f t="shared" si="39"/>
        <v>1.202304470174012E-13</v>
      </c>
      <c r="F318" s="470">
        <f t="shared" si="40"/>
        <v>-2.4166319850497642E-11</v>
      </c>
    </row>
    <row r="319" spans="1:6" x14ac:dyDescent="0.2">
      <c r="A319" s="496">
        <f t="shared" si="24"/>
        <v>54636</v>
      </c>
      <c r="B319" s="470">
        <f t="shared" si="37"/>
        <v>-2.4166319850497642E-11</v>
      </c>
      <c r="C319" s="472">
        <f>IF(ROUND(Tableau36[[#This Row],[Solde début période]],2)&lt;=0,0,$D$2)</f>
        <v>0</v>
      </c>
      <c r="D319" s="472">
        <f t="shared" si="38"/>
        <v>-1.2083159925248822E-13</v>
      </c>
      <c r="E319" s="472">
        <f t="shared" si="39"/>
        <v>1.2083159925248822E-13</v>
      </c>
      <c r="F319" s="470">
        <f t="shared" si="40"/>
        <v>-2.428715144975013E-11</v>
      </c>
    </row>
    <row r="320" spans="1:6" x14ac:dyDescent="0.2">
      <c r="A320" s="496">
        <f t="shared" si="24"/>
        <v>54667</v>
      </c>
      <c r="B320" s="470">
        <f t="shared" si="37"/>
        <v>-2.428715144975013E-11</v>
      </c>
      <c r="C320" s="472">
        <f>IF(ROUND(Tableau36[[#This Row],[Solde début période]],2)&lt;=0,0,$D$2)</f>
        <v>0</v>
      </c>
      <c r="D320" s="472">
        <f t="shared" si="38"/>
        <v>-1.2143575724875065E-13</v>
      </c>
      <c r="E320" s="472">
        <f t="shared" si="39"/>
        <v>1.2143575724875065E-13</v>
      </c>
      <c r="F320" s="470">
        <f t="shared" si="40"/>
        <v>-2.440858720699888E-11</v>
      </c>
    </row>
    <row r="321" spans="1:6" x14ac:dyDescent="0.2">
      <c r="A321" s="496">
        <f t="shared" si="24"/>
        <v>54697</v>
      </c>
      <c r="B321" s="470">
        <f t="shared" si="37"/>
        <v>-2.440858720699888E-11</v>
      </c>
      <c r="C321" s="472">
        <f>IF(ROUND(Tableau36[[#This Row],[Solde début période]],2)&lt;=0,0,$D$2)</f>
        <v>0</v>
      </c>
      <c r="D321" s="472">
        <f t="shared" si="38"/>
        <v>-1.220429360349944E-13</v>
      </c>
      <c r="E321" s="472">
        <f t="shared" si="39"/>
        <v>1.220429360349944E-13</v>
      </c>
      <c r="F321" s="470">
        <f t="shared" si="40"/>
        <v>-2.4530630143033874E-11</v>
      </c>
    </row>
    <row r="322" spans="1:6" x14ac:dyDescent="0.2">
      <c r="A322" s="496">
        <f t="shared" si="24"/>
        <v>54728</v>
      </c>
      <c r="B322" s="470">
        <f t="shared" si="37"/>
        <v>-2.4530630143033874E-11</v>
      </c>
      <c r="C322" s="472">
        <f>IF(ROUND(Tableau36[[#This Row],[Solde début période]],2)&lt;=0,0,$D$2)</f>
        <v>0</v>
      </c>
      <c r="D322" s="472">
        <f t="shared" si="38"/>
        <v>-1.2265315071516937E-13</v>
      </c>
      <c r="E322" s="472">
        <f t="shared" si="39"/>
        <v>1.2265315071516937E-13</v>
      </c>
      <c r="F322" s="470">
        <f t="shared" si="40"/>
        <v>-2.4653283293749043E-11</v>
      </c>
    </row>
    <row r="323" spans="1:6" x14ac:dyDescent="0.2">
      <c r="A323" s="496">
        <f t="shared" si="24"/>
        <v>54758</v>
      </c>
      <c r="B323" s="470">
        <f t="shared" si="37"/>
        <v>-2.4653283293749043E-11</v>
      </c>
      <c r="C323" s="472">
        <f>IF(ROUND(Tableau36[[#This Row],[Solde début période]],2)&lt;=0,0,$D$2)</f>
        <v>0</v>
      </c>
      <c r="D323" s="472">
        <f t="shared" si="38"/>
        <v>-1.2326641646874522E-13</v>
      </c>
      <c r="E323" s="472">
        <f t="shared" si="39"/>
        <v>1.2326641646874522E-13</v>
      </c>
      <c r="F323" s="470">
        <f t="shared" si="40"/>
        <v>-2.477654971021779E-11</v>
      </c>
    </row>
    <row r="324" spans="1:6" x14ac:dyDescent="0.2">
      <c r="A324" s="496">
        <f t="shared" si="24"/>
        <v>54789</v>
      </c>
      <c r="B324" s="470">
        <f t="shared" si="37"/>
        <v>-2.477654971021779E-11</v>
      </c>
      <c r="C324" s="472">
        <f>IF(ROUND(Tableau36[[#This Row],[Solde début période]],2)&lt;=0,0,$D$2)</f>
        <v>0</v>
      </c>
      <c r="D324" s="472">
        <f t="shared" si="38"/>
        <v>-1.2388274855108895E-13</v>
      </c>
      <c r="E324" s="472">
        <f t="shared" si="39"/>
        <v>1.2388274855108895E-13</v>
      </c>
      <c r="F324" s="470">
        <f t="shared" si="40"/>
        <v>-2.4900432458768879E-11</v>
      </c>
    </row>
    <row r="325" spans="1:6" x14ac:dyDescent="0.2">
      <c r="A325" s="496">
        <f t="shared" si="24"/>
        <v>54820</v>
      </c>
      <c r="B325" s="470">
        <f t="shared" si="37"/>
        <v>-2.4900432458768879E-11</v>
      </c>
      <c r="C325" s="472">
        <f>IF(ROUND(Tableau36[[#This Row],[Solde début période]],2)&lt;=0,0,$D$2)</f>
        <v>0</v>
      </c>
      <c r="D325" s="472">
        <f t="shared" si="38"/>
        <v>-1.245021622938444E-13</v>
      </c>
      <c r="E325" s="472">
        <f t="shared" si="39"/>
        <v>1.245021622938444E-13</v>
      </c>
      <c r="F325" s="470">
        <f t="shared" si="40"/>
        <v>-2.5024934621062723E-11</v>
      </c>
    </row>
    <row r="326" spans="1:6" x14ac:dyDescent="0.2">
      <c r="A326" s="496">
        <f t="shared" si="24"/>
        <v>54848</v>
      </c>
      <c r="B326" s="470">
        <f t="shared" si="37"/>
        <v>-2.5024934621062723E-11</v>
      </c>
      <c r="C326" s="472">
        <f>IF(ROUND(Tableau36[[#This Row],[Solde début période]],2)&lt;=0,0,$D$2)</f>
        <v>0</v>
      </c>
      <c r="D326" s="472">
        <f t="shared" si="38"/>
        <v>-1.2512467310531362E-13</v>
      </c>
      <c r="E326" s="472">
        <f t="shared" si="39"/>
        <v>1.2512467310531362E-13</v>
      </c>
      <c r="F326" s="470">
        <f t="shared" si="40"/>
        <v>-2.5150059294168038E-11</v>
      </c>
    </row>
    <row r="327" spans="1:6" x14ac:dyDescent="0.2">
      <c r="A327" s="496">
        <f t="shared" si="24"/>
        <v>54879</v>
      </c>
      <c r="B327" s="470">
        <f t="shared" si="37"/>
        <v>-2.5150059294168038E-11</v>
      </c>
      <c r="C327" s="472">
        <f>IF(ROUND(Tableau36[[#This Row],[Solde début période]],2)&lt;=0,0,$D$2)</f>
        <v>0</v>
      </c>
      <c r="D327" s="472">
        <f t="shared" si="38"/>
        <v>-1.2575029647084019E-13</v>
      </c>
      <c r="E327" s="472">
        <f t="shared" si="39"/>
        <v>1.2575029647084019E-13</v>
      </c>
      <c r="F327" s="470">
        <f t="shared" si="40"/>
        <v>-2.5275809590638878E-11</v>
      </c>
    </row>
    <row r="328" spans="1:6" x14ac:dyDescent="0.2">
      <c r="A328" s="496">
        <f t="shared" ref="A328:A377" si="41">EDATE(A327,1)</f>
        <v>54909</v>
      </c>
      <c r="B328" s="470">
        <f t="shared" si="37"/>
        <v>-2.5275809590638878E-11</v>
      </c>
      <c r="C328" s="472">
        <f>IF(ROUND(Tableau36[[#This Row],[Solde début période]],2)&lt;=0,0,$D$2)</f>
        <v>0</v>
      </c>
      <c r="D328" s="472">
        <f t="shared" si="38"/>
        <v>-1.263790479531944E-13</v>
      </c>
      <c r="E328" s="472">
        <f t="shared" si="39"/>
        <v>1.263790479531944E-13</v>
      </c>
      <c r="F328" s="470">
        <f t="shared" si="40"/>
        <v>-2.5402188638592074E-11</v>
      </c>
    </row>
    <row r="329" spans="1:6" x14ac:dyDescent="0.2">
      <c r="A329" s="496">
        <f t="shared" si="41"/>
        <v>54940</v>
      </c>
      <c r="B329" s="470">
        <f t="shared" si="37"/>
        <v>-2.5402188638592074E-11</v>
      </c>
      <c r="C329" s="472">
        <f>IF(ROUND(Tableau36[[#This Row],[Solde début période]],2)&lt;=0,0,$D$2)</f>
        <v>0</v>
      </c>
      <c r="D329" s="472">
        <f t="shared" si="38"/>
        <v>-1.2701094319296037E-13</v>
      </c>
      <c r="E329" s="472">
        <f t="shared" si="39"/>
        <v>1.2701094319296037E-13</v>
      </c>
      <c r="F329" s="470">
        <f t="shared" si="40"/>
        <v>-2.5529199581785035E-11</v>
      </c>
    </row>
    <row r="330" spans="1:6" x14ac:dyDescent="0.2">
      <c r="A330" s="496">
        <f t="shared" si="41"/>
        <v>54970</v>
      </c>
      <c r="B330" s="470">
        <f t="shared" si="37"/>
        <v>-2.5529199581785035E-11</v>
      </c>
      <c r="C330" s="472">
        <f>IF(ROUND(Tableau36[[#This Row],[Solde début période]],2)&lt;=0,0,$D$2)</f>
        <v>0</v>
      </c>
      <c r="D330" s="472">
        <f t="shared" si="38"/>
        <v>-1.2764599790892518E-13</v>
      </c>
      <c r="E330" s="472">
        <f t="shared" si="39"/>
        <v>1.2764599790892518E-13</v>
      </c>
      <c r="F330" s="470">
        <f t="shared" si="40"/>
        <v>-2.565684557969396E-11</v>
      </c>
    </row>
    <row r="331" spans="1:6" x14ac:dyDescent="0.2">
      <c r="A331" s="496">
        <f t="shared" si="41"/>
        <v>55001</v>
      </c>
      <c r="B331" s="470">
        <f t="shared" si="37"/>
        <v>-2.565684557969396E-11</v>
      </c>
      <c r="C331" s="472">
        <f>IF(ROUND(Tableau36[[#This Row],[Solde début période]],2)&lt;=0,0,$D$2)</f>
        <v>0</v>
      </c>
      <c r="D331" s="472">
        <f t="shared" si="38"/>
        <v>-1.282842278984698E-13</v>
      </c>
      <c r="E331" s="472">
        <f t="shared" si="39"/>
        <v>1.282842278984698E-13</v>
      </c>
      <c r="F331" s="470">
        <f t="shared" si="40"/>
        <v>-2.5785129807592431E-11</v>
      </c>
    </row>
    <row r="332" spans="1:6" x14ac:dyDescent="0.2">
      <c r="A332" s="496">
        <f t="shared" si="41"/>
        <v>55032</v>
      </c>
      <c r="B332" s="470">
        <f t="shared" si="37"/>
        <v>-2.5785129807592431E-11</v>
      </c>
      <c r="C332" s="472">
        <f>IF(ROUND(Tableau36[[#This Row],[Solde début période]],2)&lt;=0,0,$D$2)</f>
        <v>0</v>
      </c>
      <c r="D332" s="472">
        <f t="shared" si="38"/>
        <v>-1.2892564903796216E-13</v>
      </c>
      <c r="E332" s="472">
        <f t="shared" si="39"/>
        <v>1.2892564903796216E-13</v>
      </c>
      <c r="F332" s="470">
        <f t="shared" si="40"/>
        <v>-2.5914055456630393E-11</v>
      </c>
    </row>
    <row r="333" spans="1:6" x14ac:dyDescent="0.2">
      <c r="A333" s="496">
        <f t="shared" si="41"/>
        <v>55062</v>
      </c>
      <c r="B333" s="470">
        <f t="shared" si="37"/>
        <v>-2.5914055456630393E-11</v>
      </c>
      <c r="C333" s="472">
        <f>IF(ROUND(Tableau36[[#This Row],[Solde début période]],2)&lt;=0,0,$D$2)</f>
        <v>0</v>
      </c>
      <c r="D333" s="472">
        <f t="shared" si="38"/>
        <v>-1.2957027728315196E-13</v>
      </c>
      <c r="E333" s="472">
        <f t="shared" si="39"/>
        <v>1.2957027728315196E-13</v>
      </c>
      <c r="F333" s="470">
        <f t="shared" si="40"/>
        <v>-2.6043625733913546E-11</v>
      </c>
    </row>
    <row r="334" spans="1:6" x14ac:dyDescent="0.2">
      <c r="A334" s="496">
        <f t="shared" si="41"/>
        <v>55093</v>
      </c>
      <c r="B334" s="470">
        <f t="shared" si="37"/>
        <v>-2.6043625733913546E-11</v>
      </c>
      <c r="C334" s="472">
        <f>IF(ROUND(Tableau36[[#This Row],[Solde début période]],2)&lt;=0,0,$D$2)</f>
        <v>0</v>
      </c>
      <c r="D334" s="472">
        <f t="shared" si="38"/>
        <v>-1.3021812866956773E-13</v>
      </c>
      <c r="E334" s="472">
        <f t="shared" si="39"/>
        <v>1.3021812866956773E-13</v>
      </c>
      <c r="F334" s="470">
        <f t="shared" si="40"/>
        <v>-2.6173843862583113E-11</v>
      </c>
    </row>
    <row r="335" spans="1:6" x14ac:dyDescent="0.2">
      <c r="A335" s="496">
        <f t="shared" si="41"/>
        <v>55123</v>
      </c>
      <c r="B335" s="470">
        <f t="shared" si="37"/>
        <v>-2.6173843862583113E-11</v>
      </c>
      <c r="C335" s="472">
        <f>IF(ROUND(Tableau36[[#This Row],[Solde début période]],2)&lt;=0,0,$D$2)</f>
        <v>0</v>
      </c>
      <c r="D335" s="472">
        <f t="shared" si="38"/>
        <v>-1.3086921931291557E-13</v>
      </c>
      <c r="E335" s="472">
        <f t="shared" si="39"/>
        <v>1.3086921931291557E-13</v>
      </c>
      <c r="F335" s="470">
        <f t="shared" si="40"/>
        <v>-2.6304713081896027E-11</v>
      </c>
    </row>
    <row r="336" spans="1:6" x14ac:dyDescent="0.2">
      <c r="A336" s="496">
        <f t="shared" si="41"/>
        <v>55154</v>
      </c>
      <c r="B336" s="470">
        <f t="shared" si="37"/>
        <v>-2.6304713081896027E-11</v>
      </c>
      <c r="C336" s="472">
        <f>IF(ROUND(Tableau36[[#This Row],[Solde début période]],2)&lt;=0,0,$D$2)</f>
        <v>0</v>
      </c>
      <c r="D336" s="472">
        <f t="shared" si="38"/>
        <v>-1.3152356540948014E-13</v>
      </c>
      <c r="E336" s="472">
        <f t="shared" si="39"/>
        <v>1.3152356540948014E-13</v>
      </c>
      <c r="F336" s="470">
        <f t="shared" si="40"/>
        <v>-2.6436236647305506E-11</v>
      </c>
    </row>
    <row r="337" spans="1:6" x14ac:dyDescent="0.2">
      <c r="A337" s="496">
        <f t="shared" si="41"/>
        <v>55185</v>
      </c>
      <c r="B337" s="470">
        <f t="shared" si="37"/>
        <v>-2.6436236647305506E-11</v>
      </c>
      <c r="C337" s="472">
        <f>IF(ROUND(Tableau36[[#This Row],[Solde début période]],2)&lt;=0,0,$D$2)</f>
        <v>0</v>
      </c>
      <c r="D337" s="472">
        <f t="shared" si="38"/>
        <v>-1.3218118323652753E-13</v>
      </c>
      <c r="E337" s="472">
        <f t="shared" si="39"/>
        <v>1.3218118323652753E-13</v>
      </c>
      <c r="F337" s="470">
        <f t="shared" si="40"/>
        <v>-2.6568417830542035E-11</v>
      </c>
    </row>
    <row r="338" spans="1:6" x14ac:dyDescent="0.2">
      <c r="A338" s="496">
        <f t="shared" si="41"/>
        <v>55213</v>
      </c>
      <c r="B338" s="470">
        <f t="shared" si="37"/>
        <v>-2.6568417830542035E-11</v>
      </c>
      <c r="C338" s="472">
        <f>IF(ROUND(Tableau36[[#This Row],[Solde début période]],2)&lt;=0,0,$D$2)</f>
        <v>0</v>
      </c>
      <c r="D338" s="472">
        <f t="shared" si="38"/>
        <v>-1.3284208915271018E-13</v>
      </c>
      <c r="E338" s="472">
        <f t="shared" si="39"/>
        <v>1.3284208915271018E-13</v>
      </c>
      <c r="F338" s="470">
        <f t="shared" si="40"/>
        <v>-2.6701259919694746E-11</v>
      </c>
    </row>
    <row r="339" spans="1:6" x14ac:dyDescent="0.2">
      <c r="A339" s="496">
        <f t="shared" si="41"/>
        <v>55244</v>
      </c>
      <c r="B339" s="470">
        <f t="shared" si="37"/>
        <v>-2.6701259919694746E-11</v>
      </c>
      <c r="C339" s="472">
        <f>IF(ROUND(Tableau36[[#This Row],[Solde début période]],2)&lt;=0,0,$D$2)</f>
        <v>0</v>
      </c>
      <c r="D339" s="472">
        <f t="shared" si="38"/>
        <v>-1.3350629959847373E-13</v>
      </c>
      <c r="E339" s="472">
        <f t="shared" si="39"/>
        <v>1.3350629959847373E-13</v>
      </c>
      <c r="F339" s="470">
        <f t="shared" si="40"/>
        <v>-2.683476621929322E-11</v>
      </c>
    </row>
    <row r="340" spans="1:6" x14ac:dyDescent="0.2">
      <c r="A340" s="496">
        <f t="shared" si="41"/>
        <v>55274</v>
      </c>
      <c r="B340" s="470">
        <f t="shared" si="37"/>
        <v>-2.683476621929322E-11</v>
      </c>
      <c r="C340" s="472">
        <f>IF(ROUND(Tableau36[[#This Row],[Solde début période]],2)&lt;=0,0,$D$2)</f>
        <v>0</v>
      </c>
      <c r="D340" s="472">
        <f t="shared" si="38"/>
        <v>-1.341738310964661E-13</v>
      </c>
      <c r="E340" s="472">
        <f t="shared" si="39"/>
        <v>1.341738310964661E-13</v>
      </c>
      <c r="F340" s="470">
        <f t="shared" si="40"/>
        <v>-2.6968940050389685E-11</v>
      </c>
    </row>
    <row r="341" spans="1:6" x14ac:dyDescent="0.2">
      <c r="A341" s="496">
        <f t="shared" si="41"/>
        <v>55305</v>
      </c>
      <c r="B341" s="470">
        <f t="shared" si="37"/>
        <v>-2.6968940050389685E-11</v>
      </c>
      <c r="C341" s="472">
        <f>IF(ROUND(Tableau36[[#This Row],[Solde début période]],2)&lt;=0,0,$D$2)</f>
        <v>0</v>
      </c>
      <c r="D341" s="472">
        <f t="shared" si="38"/>
        <v>-1.3484470025194844E-13</v>
      </c>
      <c r="E341" s="472">
        <f t="shared" si="39"/>
        <v>1.3484470025194844E-13</v>
      </c>
      <c r="F341" s="470">
        <f t="shared" si="40"/>
        <v>-2.7103784750641635E-11</v>
      </c>
    </row>
    <row r="342" spans="1:6" x14ac:dyDescent="0.2">
      <c r="A342" s="496">
        <f t="shared" si="41"/>
        <v>55335</v>
      </c>
      <c r="B342" s="470">
        <f t="shared" si="37"/>
        <v>-2.7103784750641635E-11</v>
      </c>
      <c r="C342" s="472">
        <f>IF(ROUND(Tableau36[[#This Row],[Solde début période]],2)&lt;=0,0,$D$2)</f>
        <v>0</v>
      </c>
      <c r="D342" s="472">
        <f t="shared" si="38"/>
        <v>-1.3551892375320816E-13</v>
      </c>
      <c r="E342" s="472">
        <f t="shared" si="39"/>
        <v>1.3551892375320816E-13</v>
      </c>
      <c r="F342" s="470">
        <f t="shared" si="40"/>
        <v>-2.7239303674394844E-11</v>
      </c>
    </row>
    <row r="343" spans="1:6" x14ac:dyDescent="0.2">
      <c r="A343" s="496">
        <f t="shared" si="41"/>
        <v>55366</v>
      </c>
      <c r="B343" s="470">
        <f t="shared" si="37"/>
        <v>-2.7239303674394844E-11</v>
      </c>
      <c r="C343" s="472">
        <f>IF(ROUND(Tableau36[[#This Row],[Solde début période]],2)&lt;=0,0,$D$2)</f>
        <v>0</v>
      </c>
      <c r="D343" s="472">
        <f t="shared" si="38"/>
        <v>-1.3619651837197422E-13</v>
      </c>
      <c r="E343" s="472">
        <f t="shared" si="39"/>
        <v>1.3619651837197422E-13</v>
      </c>
      <c r="F343" s="470">
        <f t="shared" si="40"/>
        <v>-2.7375500192766816E-11</v>
      </c>
    </row>
    <row r="344" spans="1:6" x14ac:dyDescent="0.2">
      <c r="A344" s="496">
        <f t="shared" si="41"/>
        <v>55397</v>
      </c>
      <c r="B344" s="470">
        <f t="shared" si="37"/>
        <v>-2.7375500192766816E-11</v>
      </c>
      <c r="C344" s="472">
        <f>IF(ROUND(Tableau36[[#This Row],[Solde début période]],2)&lt;=0,0,$D$2)</f>
        <v>0</v>
      </c>
      <c r="D344" s="472">
        <f t="shared" si="38"/>
        <v>-1.3687750096383408E-13</v>
      </c>
      <c r="E344" s="472">
        <f t="shared" si="39"/>
        <v>1.3687750096383408E-13</v>
      </c>
      <c r="F344" s="470">
        <f t="shared" si="40"/>
        <v>-2.7512377693730649E-11</v>
      </c>
    </row>
    <row r="345" spans="1:6" x14ac:dyDescent="0.2">
      <c r="A345" s="496">
        <f t="shared" si="41"/>
        <v>55427</v>
      </c>
      <c r="B345" s="470">
        <f t="shared" si="37"/>
        <v>-2.7512377693730649E-11</v>
      </c>
      <c r="C345" s="472">
        <f>IF(ROUND(Tableau36[[#This Row],[Solde début période]],2)&lt;=0,0,$D$2)</f>
        <v>0</v>
      </c>
      <c r="D345" s="472">
        <f t="shared" si="38"/>
        <v>-1.3756188846865326E-13</v>
      </c>
      <c r="E345" s="472">
        <f t="shared" si="39"/>
        <v>1.3756188846865326E-13</v>
      </c>
      <c r="F345" s="470">
        <f t="shared" si="40"/>
        <v>-2.7649939582199303E-11</v>
      </c>
    </row>
    <row r="346" spans="1:6" x14ac:dyDescent="0.2">
      <c r="A346" s="496">
        <f t="shared" si="41"/>
        <v>55458</v>
      </c>
      <c r="B346" s="470">
        <f t="shared" si="37"/>
        <v>-2.7649939582199303E-11</v>
      </c>
      <c r="C346" s="472">
        <f>IF(ROUND(Tableau36[[#This Row],[Solde début période]],2)&lt;=0,0,$D$2)</f>
        <v>0</v>
      </c>
      <c r="D346" s="472">
        <f t="shared" si="38"/>
        <v>-1.3824969791099651E-13</v>
      </c>
      <c r="E346" s="472">
        <f t="shared" si="39"/>
        <v>1.3824969791099651E-13</v>
      </c>
      <c r="F346" s="470">
        <f t="shared" si="40"/>
        <v>-2.77881892801103E-11</v>
      </c>
    </row>
    <row r="347" spans="1:6" x14ac:dyDescent="0.2">
      <c r="A347" s="496">
        <f t="shared" si="41"/>
        <v>55488</v>
      </c>
      <c r="B347" s="470">
        <f t="shared" si="37"/>
        <v>-2.77881892801103E-11</v>
      </c>
      <c r="C347" s="472">
        <f>IF(ROUND(Tableau36[[#This Row],[Solde début période]],2)&lt;=0,0,$D$2)</f>
        <v>0</v>
      </c>
      <c r="D347" s="472">
        <f t="shared" si="38"/>
        <v>-1.3894094640055151E-13</v>
      </c>
      <c r="E347" s="472">
        <f t="shared" si="39"/>
        <v>1.3894094640055151E-13</v>
      </c>
      <c r="F347" s="470">
        <f t="shared" si="40"/>
        <v>-2.7927130226510853E-11</v>
      </c>
    </row>
    <row r="348" spans="1:6" x14ac:dyDescent="0.2">
      <c r="A348" s="496">
        <f t="shared" si="41"/>
        <v>55519</v>
      </c>
      <c r="B348" s="470">
        <f t="shared" si="37"/>
        <v>-2.7927130226510853E-11</v>
      </c>
      <c r="C348" s="472">
        <f>IF(ROUND(Tableau36[[#This Row],[Solde début période]],2)&lt;=0,0,$D$2)</f>
        <v>0</v>
      </c>
      <c r="D348" s="472">
        <f t="shared" si="38"/>
        <v>-1.3963565113255426E-13</v>
      </c>
      <c r="E348" s="472">
        <f t="shared" si="39"/>
        <v>1.3963565113255426E-13</v>
      </c>
      <c r="F348" s="470">
        <f t="shared" si="40"/>
        <v>-2.8066765877643406E-11</v>
      </c>
    </row>
    <row r="349" spans="1:6" x14ac:dyDescent="0.2">
      <c r="A349" s="496">
        <f t="shared" si="41"/>
        <v>55550</v>
      </c>
      <c r="B349" s="470">
        <f t="shared" si="37"/>
        <v>-2.8066765877643406E-11</v>
      </c>
      <c r="C349" s="472">
        <f>IF(ROUND(Tableau36[[#This Row],[Solde début période]],2)&lt;=0,0,$D$2)</f>
        <v>0</v>
      </c>
      <c r="D349" s="472">
        <f t="shared" si="38"/>
        <v>-1.4033382938821704E-13</v>
      </c>
      <c r="E349" s="472">
        <f t="shared" si="39"/>
        <v>1.4033382938821704E-13</v>
      </c>
      <c r="F349" s="470">
        <f t="shared" si="40"/>
        <v>-2.8207099707031622E-11</v>
      </c>
    </row>
    <row r="350" spans="1:6" x14ac:dyDescent="0.2">
      <c r="A350" s="496">
        <f t="shared" si="41"/>
        <v>55579</v>
      </c>
      <c r="B350" s="470">
        <f t="shared" si="37"/>
        <v>-2.8207099707031622E-11</v>
      </c>
      <c r="C350" s="472">
        <f>IF(ROUND(Tableau36[[#This Row],[Solde début période]],2)&lt;=0,0,$D$2)</f>
        <v>0</v>
      </c>
      <c r="D350" s="472">
        <f t="shared" si="38"/>
        <v>-1.410354985351581E-13</v>
      </c>
      <c r="E350" s="472">
        <f t="shared" si="39"/>
        <v>1.410354985351581E-13</v>
      </c>
      <c r="F350" s="470">
        <f t="shared" si="40"/>
        <v>-2.8348135205566781E-11</v>
      </c>
    </row>
    <row r="351" spans="1:6" x14ac:dyDescent="0.2">
      <c r="A351" s="496">
        <f t="shared" si="41"/>
        <v>55610</v>
      </c>
      <c r="B351" s="470">
        <f t="shared" si="37"/>
        <v>-2.8348135205566781E-11</v>
      </c>
      <c r="C351" s="472">
        <f>IF(ROUND(Tableau36[[#This Row],[Solde début période]],2)&lt;=0,0,$D$2)</f>
        <v>0</v>
      </c>
      <c r="D351" s="472">
        <f t="shared" si="38"/>
        <v>-1.417406760278339E-13</v>
      </c>
      <c r="E351" s="472">
        <f t="shared" si="39"/>
        <v>1.417406760278339E-13</v>
      </c>
      <c r="F351" s="470">
        <f t="shared" si="40"/>
        <v>-2.8489875881594614E-11</v>
      </c>
    </row>
    <row r="352" spans="1:6" x14ac:dyDescent="0.2">
      <c r="A352" s="496">
        <f t="shared" si="41"/>
        <v>55640</v>
      </c>
      <c r="B352" s="470">
        <f t="shared" si="37"/>
        <v>-2.8489875881594614E-11</v>
      </c>
      <c r="C352" s="472">
        <f>IF(ROUND(Tableau36[[#This Row],[Solde début période]],2)&lt;=0,0,$D$2)</f>
        <v>0</v>
      </c>
      <c r="D352" s="472">
        <f t="shared" si="38"/>
        <v>-1.4244937940797307E-13</v>
      </c>
      <c r="E352" s="472">
        <f t="shared" si="39"/>
        <v>1.4244937940797307E-13</v>
      </c>
      <c r="F352" s="470">
        <f t="shared" si="40"/>
        <v>-2.8632325261002587E-11</v>
      </c>
    </row>
    <row r="353" spans="1:6" x14ac:dyDescent="0.2">
      <c r="A353" s="496">
        <f t="shared" si="41"/>
        <v>55671</v>
      </c>
      <c r="B353" s="470">
        <f t="shared" si="37"/>
        <v>-2.8632325261002587E-11</v>
      </c>
      <c r="C353" s="472">
        <f>IF(ROUND(Tableau36[[#This Row],[Solde début période]],2)&lt;=0,0,$D$2)</f>
        <v>0</v>
      </c>
      <c r="D353" s="472">
        <f t="shared" si="38"/>
        <v>-1.4316162630501295E-13</v>
      </c>
      <c r="E353" s="472">
        <f t="shared" si="39"/>
        <v>1.4316162630501295E-13</v>
      </c>
      <c r="F353" s="470">
        <f t="shared" si="40"/>
        <v>-2.8775486887307601E-11</v>
      </c>
    </row>
    <row r="354" spans="1:6" x14ac:dyDescent="0.2">
      <c r="A354" s="496">
        <f t="shared" si="41"/>
        <v>55701</v>
      </c>
      <c r="B354" s="470">
        <f t="shared" si="37"/>
        <v>-2.8775486887307601E-11</v>
      </c>
      <c r="C354" s="472">
        <f>IF(ROUND(Tableau36[[#This Row],[Solde début période]],2)&lt;=0,0,$D$2)</f>
        <v>0</v>
      </c>
      <c r="D354" s="472">
        <f t="shared" si="38"/>
        <v>-1.4387743443653801E-13</v>
      </c>
      <c r="E354" s="472">
        <f t="shared" si="39"/>
        <v>1.4387743443653801E-13</v>
      </c>
      <c r="F354" s="470">
        <f t="shared" si="40"/>
        <v>-2.8919364321744139E-11</v>
      </c>
    </row>
    <row r="355" spans="1:6" x14ac:dyDescent="0.2">
      <c r="A355" s="496">
        <f t="shared" si="41"/>
        <v>55732</v>
      </c>
      <c r="B355" s="470">
        <f t="shared" si="37"/>
        <v>-2.8919364321744139E-11</v>
      </c>
      <c r="C355" s="472">
        <f>IF(ROUND(Tableau36[[#This Row],[Solde début période]],2)&lt;=0,0,$D$2)</f>
        <v>0</v>
      </c>
      <c r="D355" s="472">
        <f t="shared" si="38"/>
        <v>-1.4459682160872069E-13</v>
      </c>
      <c r="E355" s="472">
        <f t="shared" si="39"/>
        <v>1.4459682160872069E-13</v>
      </c>
      <c r="F355" s="470">
        <f t="shared" si="40"/>
        <v>-2.9063961143352859E-11</v>
      </c>
    </row>
    <row r="356" spans="1:6" x14ac:dyDescent="0.2">
      <c r="A356" s="496">
        <f t="shared" si="41"/>
        <v>55763</v>
      </c>
      <c r="B356" s="470">
        <f t="shared" si="37"/>
        <v>-2.9063961143352859E-11</v>
      </c>
      <c r="C356" s="472">
        <f>IF(ROUND(Tableau36[[#This Row],[Solde début période]],2)&lt;=0,0,$D$2)</f>
        <v>0</v>
      </c>
      <c r="D356" s="472">
        <f t="shared" si="38"/>
        <v>-1.453198057167643E-13</v>
      </c>
      <c r="E356" s="472">
        <f t="shared" si="39"/>
        <v>1.453198057167643E-13</v>
      </c>
      <c r="F356" s="470">
        <f t="shared" si="40"/>
        <v>-2.9209280949069624E-11</v>
      </c>
    </row>
    <row r="357" spans="1:6" x14ac:dyDescent="0.2">
      <c r="A357" s="496">
        <f t="shared" si="41"/>
        <v>55793</v>
      </c>
      <c r="B357" s="470">
        <f t="shared" si="37"/>
        <v>-2.9209280949069624E-11</v>
      </c>
      <c r="C357" s="472">
        <f>IF(ROUND(Tableau36[[#This Row],[Solde début période]],2)&lt;=0,0,$D$2)</f>
        <v>0</v>
      </c>
      <c r="D357" s="472">
        <f t="shared" si="38"/>
        <v>-1.4604640474534813E-13</v>
      </c>
      <c r="E357" s="472">
        <f t="shared" si="39"/>
        <v>1.4604640474534813E-13</v>
      </c>
      <c r="F357" s="470">
        <f t="shared" si="40"/>
        <v>-2.9355327353814971E-11</v>
      </c>
    </row>
    <row r="358" spans="1:6" x14ac:dyDescent="0.2">
      <c r="A358" s="496">
        <f t="shared" si="41"/>
        <v>55824</v>
      </c>
      <c r="B358" s="470">
        <f t="shared" si="37"/>
        <v>-2.9355327353814971E-11</v>
      </c>
      <c r="C358" s="472">
        <f>IF(ROUND(Tableau36[[#This Row],[Solde début période]],2)&lt;=0,0,$D$2)</f>
        <v>0</v>
      </c>
      <c r="D358" s="472">
        <f t="shared" si="38"/>
        <v>-1.4677663676907487E-13</v>
      </c>
      <c r="E358" s="472">
        <f t="shared" si="39"/>
        <v>1.4677663676907487E-13</v>
      </c>
      <c r="F358" s="470">
        <f t="shared" si="40"/>
        <v>-2.9502103990584049E-11</v>
      </c>
    </row>
    <row r="359" spans="1:6" x14ac:dyDescent="0.2">
      <c r="A359" s="496">
        <f t="shared" si="41"/>
        <v>55854</v>
      </c>
      <c r="B359" s="470">
        <f t="shared" si="37"/>
        <v>-2.9502103990584049E-11</v>
      </c>
      <c r="C359" s="472">
        <f>IF(ROUND(Tableau36[[#This Row],[Solde début période]],2)&lt;=0,0,$D$2)</f>
        <v>0</v>
      </c>
      <c r="D359" s="472">
        <f t="shared" si="38"/>
        <v>-1.4751051995292025E-13</v>
      </c>
      <c r="E359" s="472">
        <f t="shared" si="39"/>
        <v>1.4751051995292025E-13</v>
      </c>
      <c r="F359" s="470">
        <f t="shared" si="40"/>
        <v>-2.9649614510536972E-11</v>
      </c>
    </row>
    <row r="360" spans="1:6" x14ac:dyDescent="0.2">
      <c r="A360" s="496">
        <f t="shared" si="41"/>
        <v>55885</v>
      </c>
      <c r="B360" s="470">
        <f t="shared" si="37"/>
        <v>-2.9649614510536972E-11</v>
      </c>
      <c r="C360" s="472">
        <f>IF(ROUND(Tableau36[[#This Row],[Solde début période]],2)&lt;=0,0,$D$2)</f>
        <v>0</v>
      </c>
      <c r="D360" s="472">
        <f t="shared" si="38"/>
        <v>-1.4824807255268485E-13</v>
      </c>
      <c r="E360" s="472">
        <f t="shared" si="39"/>
        <v>1.4824807255268485E-13</v>
      </c>
      <c r="F360" s="470">
        <f t="shared" si="40"/>
        <v>-2.9797862583089659E-11</v>
      </c>
    </row>
    <row r="361" spans="1:6" x14ac:dyDescent="0.2">
      <c r="A361" s="496">
        <f t="shared" si="41"/>
        <v>55916</v>
      </c>
      <c r="B361" s="470">
        <f t="shared" si="37"/>
        <v>-2.9797862583089659E-11</v>
      </c>
      <c r="C361" s="472">
        <f>IF(ROUND(Tableau36[[#This Row],[Solde début période]],2)&lt;=0,0,$D$2)</f>
        <v>0</v>
      </c>
      <c r="D361" s="472">
        <f t="shared" si="38"/>
        <v>-1.4898931291544829E-13</v>
      </c>
      <c r="E361" s="472">
        <f t="shared" si="39"/>
        <v>1.4898931291544829E-13</v>
      </c>
      <c r="F361" s="470">
        <f t="shared" si="40"/>
        <v>-2.9946851896005105E-11</v>
      </c>
    </row>
    <row r="362" spans="1:6" x14ac:dyDescent="0.2">
      <c r="A362" s="496">
        <f t="shared" si="41"/>
        <v>55944</v>
      </c>
      <c r="B362" s="470">
        <f t="shared" si="37"/>
        <v>-2.9946851896005105E-11</v>
      </c>
      <c r="C362" s="472">
        <f>IF(ROUND(Tableau36[[#This Row],[Solde début période]],2)&lt;=0,0,$D$2)</f>
        <v>0</v>
      </c>
      <c r="D362" s="472">
        <f t="shared" si="38"/>
        <v>-1.4973425948002553E-13</v>
      </c>
      <c r="E362" s="472">
        <f t="shared" si="39"/>
        <v>1.4973425948002553E-13</v>
      </c>
      <c r="F362" s="470">
        <f t="shared" si="40"/>
        <v>-3.0096586155485132E-11</v>
      </c>
    </row>
    <row r="363" spans="1:6" x14ac:dyDescent="0.2">
      <c r="A363" s="496">
        <f t="shared" si="41"/>
        <v>55975</v>
      </c>
      <c r="B363" s="470">
        <f t="shared" si="37"/>
        <v>-3.0096586155485132E-11</v>
      </c>
      <c r="C363" s="472">
        <f>IF(ROUND(Tableau36[[#This Row],[Solde début période]],2)&lt;=0,0,$D$2)</f>
        <v>0</v>
      </c>
      <c r="D363" s="472">
        <f t="shared" si="38"/>
        <v>-1.5048293077742565E-13</v>
      </c>
      <c r="E363" s="472">
        <f t="shared" si="39"/>
        <v>1.5048293077742565E-13</v>
      </c>
      <c r="F363" s="470">
        <f t="shared" si="40"/>
        <v>-3.0247069086262556E-11</v>
      </c>
    </row>
    <row r="364" spans="1:6" x14ac:dyDescent="0.2">
      <c r="A364" s="496">
        <f t="shared" si="41"/>
        <v>56005</v>
      </c>
      <c r="B364" s="470">
        <f t="shared" si="37"/>
        <v>-3.0247069086262556E-11</v>
      </c>
      <c r="C364" s="472">
        <f>IF(ROUND(Tableau36[[#This Row],[Solde début période]],2)&lt;=0,0,$D$2)</f>
        <v>0</v>
      </c>
      <c r="D364" s="472">
        <f t="shared" si="38"/>
        <v>-1.5123534543131279E-13</v>
      </c>
      <c r="E364" s="472">
        <f t="shared" si="39"/>
        <v>1.5123534543131279E-13</v>
      </c>
      <c r="F364" s="470">
        <f t="shared" si="40"/>
        <v>-3.0398304431693868E-11</v>
      </c>
    </row>
    <row r="365" spans="1:6" x14ac:dyDescent="0.2">
      <c r="A365" s="496">
        <f t="shared" si="41"/>
        <v>56036</v>
      </c>
      <c r="B365" s="470">
        <f t="shared" ref="B365:B377" si="42">F364</f>
        <v>-3.0398304431693868E-11</v>
      </c>
      <c r="C365" s="472">
        <f>IF(ROUND(Tableau36[[#This Row],[Solde début période]],2)&lt;=0,0,$D$2)</f>
        <v>0</v>
      </c>
      <c r="D365" s="472">
        <f t="shared" ref="D365:D377" si="43">B365*($B$2/12)</f>
        <v>-1.5199152215846934E-13</v>
      </c>
      <c r="E365" s="472">
        <f t="shared" ref="E365:E377" si="44">C365-D365</f>
        <v>1.5199152215846934E-13</v>
      </c>
      <c r="F365" s="470">
        <f t="shared" ref="F365:F377" si="45">B365-E365</f>
        <v>-3.055029595385234E-11</v>
      </c>
    </row>
    <row r="366" spans="1:6" x14ac:dyDescent="0.2">
      <c r="A366" s="496">
        <f t="shared" si="41"/>
        <v>56066</v>
      </c>
      <c r="B366" s="470">
        <f t="shared" si="42"/>
        <v>-3.055029595385234E-11</v>
      </c>
      <c r="C366" s="472">
        <f>IF(ROUND(Tableau36[[#This Row],[Solde début période]],2)&lt;=0,0,$D$2)</f>
        <v>0</v>
      </c>
      <c r="D366" s="472">
        <f t="shared" si="43"/>
        <v>-1.5275147976926171E-13</v>
      </c>
      <c r="E366" s="472">
        <f t="shared" si="44"/>
        <v>1.5275147976926171E-13</v>
      </c>
      <c r="F366" s="470">
        <f t="shared" si="45"/>
        <v>-3.0703047433621599E-11</v>
      </c>
    </row>
    <row r="367" spans="1:6" x14ac:dyDescent="0.2">
      <c r="A367" s="496">
        <f t="shared" si="41"/>
        <v>56097</v>
      </c>
      <c r="B367" s="470">
        <f t="shared" si="42"/>
        <v>-3.0703047433621599E-11</v>
      </c>
      <c r="C367" s="472">
        <f>IF(ROUND(Tableau36[[#This Row],[Solde début période]],2)&lt;=0,0,$D$2)</f>
        <v>0</v>
      </c>
      <c r="D367" s="472">
        <f t="shared" si="43"/>
        <v>-1.53515237168108E-13</v>
      </c>
      <c r="E367" s="472">
        <f t="shared" si="44"/>
        <v>1.53515237168108E-13</v>
      </c>
      <c r="F367" s="470">
        <f t="shared" si="45"/>
        <v>-3.0856562670789707E-11</v>
      </c>
    </row>
    <row r="368" spans="1:6" x14ac:dyDescent="0.2">
      <c r="A368" s="496">
        <f t="shared" si="41"/>
        <v>56128</v>
      </c>
      <c r="B368" s="470">
        <f t="shared" si="42"/>
        <v>-3.0856562670789707E-11</v>
      </c>
      <c r="C368" s="472">
        <f>IF(ROUND(Tableau36[[#This Row],[Solde début période]],2)&lt;=0,0,$D$2)</f>
        <v>0</v>
      </c>
      <c r="D368" s="472">
        <f t="shared" si="43"/>
        <v>-1.5428281335394853E-13</v>
      </c>
      <c r="E368" s="472">
        <f t="shared" si="44"/>
        <v>1.5428281335394853E-13</v>
      </c>
      <c r="F368" s="470">
        <f t="shared" si="45"/>
        <v>-3.1010845484143657E-11</v>
      </c>
    </row>
    <row r="369" spans="1:6" x14ac:dyDescent="0.2">
      <c r="A369" s="496">
        <f t="shared" si="41"/>
        <v>56158</v>
      </c>
      <c r="B369" s="470">
        <f t="shared" si="42"/>
        <v>-3.1010845484143657E-11</v>
      </c>
      <c r="C369" s="472">
        <f>IF(ROUND(Tableau36[[#This Row],[Solde début période]],2)&lt;=0,0,$D$2)</f>
        <v>0</v>
      </c>
      <c r="D369" s="472">
        <f t="shared" si="43"/>
        <v>-1.5505422742071829E-13</v>
      </c>
      <c r="E369" s="472">
        <f t="shared" si="44"/>
        <v>1.5505422742071829E-13</v>
      </c>
      <c r="F369" s="470">
        <f t="shared" si="45"/>
        <v>-3.1165899711564375E-11</v>
      </c>
    </row>
    <row r="370" spans="1:6" x14ac:dyDescent="0.2">
      <c r="A370" s="496">
        <f t="shared" si="41"/>
        <v>56189</v>
      </c>
      <c r="B370" s="470">
        <f t="shared" si="42"/>
        <v>-3.1165899711564375E-11</v>
      </c>
      <c r="C370" s="472">
        <f>IF(ROUND(Tableau36[[#This Row],[Solde début période]],2)&lt;=0,0,$D$2)</f>
        <v>0</v>
      </c>
      <c r="D370" s="472">
        <f t="shared" si="43"/>
        <v>-1.5582949855782188E-13</v>
      </c>
      <c r="E370" s="472">
        <f t="shared" si="44"/>
        <v>1.5582949855782188E-13</v>
      </c>
      <c r="F370" s="470">
        <f t="shared" si="45"/>
        <v>-3.1321729210122194E-11</v>
      </c>
    </row>
    <row r="371" spans="1:6" x14ac:dyDescent="0.2">
      <c r="A371" s="496">
        <f t="shared" si="41"/>
        <v>56219</v>
      </c>
      <c r="B371" s="470">
        <f t="shared" si="42"/>
        <v>-3.1321729210122194E-11</v>
      </c>
      <c r="C371" s="472">
        <f>IF(ROUND(Tableau36[[#This Row],[Solde début période]],2)&lt;=0,0,$D$2)</f>
        <v>0</v>
      </c>
      <c r="D371" s="472">
        <f t="shared" si="43"/>
        <v>-1.5660864605061097E-13</v>
      </c>
      <c r="E371" s="472">
        <f t="shared" si="44"/>
        <v>1.5660864605061097E-13</v>
      </c>
      <c r="F371" s="470">
        <f t="shared" si="45"/>
        <v>-3.1478337856172802E-11</v>
      </c>
    </row>
    <row r="372" spans="1:6" x14ac:dyDescent="0.2">
      <c r="A372" s="496">
        <f t="shared" si="41"/>
        <v>56250</v>
      </c>
      <c r="B372" s="470">
        <f t="shared" si="42"/>
        <v>-3.1478337856172802E-11</v>
      </c>
      <c r="C372" s="472">
        <f>IF(ROUND(Tableau36[[#This Row],[Solde début période]],2)&lt;=0,0,$D$2)</f>
        <v>0</v>
      </c>
      <c r="D372" s="472">
        <f t="shared" si="43"/>
        <v>-1.5739168928086401E-13</v>
      </c>
      <c r="E372" s="472">
        <f t="shared" si="44"/>
        <v>1.5739168928086401E-13</v>
      </c>
      <c r="F372" s="470">
        <f t="shared" si="45"/>
        <v>-3.1635729545453665E-11</v>
      </c>
    </row>
    <row r="373" spans="1:6" x14ac:dyDescent="0.2">
      <c r="A373" s="496">
        <f t="shared" si="41"/>
        <v>56281</v>
      </c>
      <c r="B373" s="470">
        <f t="shared" si="42"/>
        <v>-3.1635729545453665E-11</v>
      </c>
      <c r="C373" s="472">
        <f>IF(ROUND(Tableau36[[#This Row],[Solde début période]],2)&lt;=0,0,$D$2)</f>
        <v>0</v>
      </c>
      <c r="D373" s="472">
        <f t="shared" si="43"/>
        <v>-1.5817864772726832E-13</v>
      </c>
      <c r="E373" s="472">
        <f t="shared" si="44"/>
        <v>1.5817864772726832E-13</v>
      </c>
      <c r="F373" s="470">
        <f t="shared" si="45"/>
        <v>-3.1793908193180931E-11</v>
      </c>
    </row>
    <row r="374" spans="1:6" x14ac:dyDescent="0.2">
      <c r="A374" s="496">
        <f t="shared" si="41"/>
        <v>56309</v>
      </c>
      <c r="B374" s="470">
        <f t="shared" si="42"/>
        <v>-3.1793908193180931E-11</v>
      </c>
      <c r="C374" s="472">
        <f>IF(ROUND(Tableau36[[#This Row],[Solde début période]],2)&lt;=0,0,$D$2)</f>
        <v>0</v>
      </c>
      <c r="D374" s="472">
        <f t="shared" si="43"/>
        <v>-1.5896954096590465E-13</v>
      </c>
      <c r="E374" s="472">
        <f t="shared" si="44"/>
        <v>1.5896954096590465E-13</v>
      </c>
      <c r="F374" s="470">
        <f t="shared" si="45"/>
        <v>-3.1952877734146837E-11</v>
      </c>
    </row>
    <row r="375" spans="1:6" x14ac:dyDescent="0.2">
      <c r="A375" s="496">
        <f t="shared" si="41"/>
        <v>56340</v>
      </c>
      <c r="B375" s="470">
        <f t="shared" si="42"/>
        <v>-3.1952877734146837E-11</v>
      </c>
      <c r="C375" s="472">
        <f>IF(ROUND(Tableau36[[#This Row],[Solde début période]],2)&lt;=0,0,$D$2)</f>
        <v>0</v>
      </c>
      <c r="D375" s="472">
        <f t="shared" si="43"/>
        <v>-1.5976438867073418E-13</v>
      </c>
      <c r="E375" s="472">
        <f t="shared" si="44"/>
        <v>1.5976438867073418E-13</v>
      </c>
      <c r="F375" s="470">
        <f t="shared" si="45"/>
        <v>-3.2112642122817573E-11</v>
      </c>
    </row>
    <row r="376" spans="1:6" x14ac:dyDescent="0.2">
      <c r="A376" s="496">
        <f t="shared" si="41"/>
        <v>56370</v>
      </c>
      <c r="B376" s="470">
        <f t="shared" si="42"/>
        <v>-3.2112642122817573E-11</v>
      </c>
      <c r="C376" s="472">
        <f>IF(ROUND(Tableau36[[#This Row],[Solde début période]],2)&lt;=0,0,$D$2)</f>
        <v>0</v>
      </c>
      <c r="D376" s="472">
        <f t="shared" si="43"/>
        <v>-1.6056321061408787E-13</v>
      </c>
      <c r="E376" s="472">
        <f t="shared" si="44"/>
        <v>1.6056321061408787E-13</v>
      </c>
      <c r="F376" s="470">
        <f t="shared" si="45"/>
        <v>-3.2273205333431662E-11</v>
      </c>
    </row>
    <row r="377" spans="1:6" x14ac:dyDescent="0.2">
      <c r="A377" s="496">
        <f t="shared" si="41"/>
        <v>56401</v>
      </c>
      <c r="B377" s="470">
        <f t="shared" si="42"/>
        <v>-3.2273205333431662E-11</v>
      </c>
      <c r="C377" s="472">
        <f>IF(ROUND(Tableau36[[#This Row],[Solde début période]],2)&lt;=0,0,$D$2)</f>
        <v>0</v>
      </c>
      <c r="D377" s="472">
        <f t="shared" si="43"/>
        <v>-1.6136602666715832E-13</v>
      </c>
      <c r="E377" s="472">
        <f t="shared" si="44"/>
        <v>1.6136602666715832E-13</v>
      </c>
      <c r="F377" s="470">
        <f t="shared" si="45"/>
        <v>-3.2434571360098817E-11</v>
      </c>
    </row>
  </sheetData>
  <sheetProtection algorithmName="SHA-512" hashValue="qiwc9jcOSPmkYlqjEfiQncOWj9nMkYI27mWAYlVnAbSlqkc/ZgBd70b5kg9lTBm5rZK5MRK4lIZxmJZ0hErvFw==" saltValue="3ofuGNX903l+a8v4nyGQ7w==" spinCount="100000" sheet="1" objects="1" scenarios="1" selectLockedCells="1"/>
  <scenarios current="0">
    <scenario name="Paiement" count="1" user="Maxime Montambeault" comment="Créé par Maxime Montambeault le 2016-04-09">
      <inputCells r="D2" val="71"/>
    </scenario>
  </scenarios>
  <mergeCells count="3">
    <mergeCell ref="A4:F4"/>
    <mergeCell ref="E1:F1"/>
    <mergeCell ref="E2:F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C9EE-22BD-48A3-BADB-85259DEE6642}">
  <sheetPr codeName="Feuil24"/>
  <dimension ref="A1:I377"/>
  <sheetViews>
    <sheetView zoomScaleNormal="100" zoomScaleSheetLayoutView="85" workbookViewId="0">
      <selection activeCell="A2" sqref="A2"/>
    </sheetView>
  </sheetViews>
  <sheetFormatPr baseColWidth="10" defaultColWidth="0" defaultRowHeight="15" zeroHeight="1" x14ac:dyDescent="0.2"/>
  <cols>
    <col min="1" max="1" width="11.796875" style="445" customWidth="1"/>
    <col min="2" max="2" width="16" style="445" customWidth="1"/>
    <col min="3" max="4" width="14.3984375" style="445" customWidth="1"/>
    <col min="5" max="5" width="15.19921875" style="445" customWidth="1"/>
    <col min="6" max="6" width="14.3984375" style="445" customWidth="1"/>
    <col min="7" max="7" width="10.796875" style="445" hidden="1" customWidth="1"/>
    <col min="8" max="8" width="22.3984375" style="445" hidden="1" customWidth="1"/>
    <col min="9" max="9" width="0" style="445" hidden="1" customWidth="1"/>
    <col min="10" max="16384" width="10.796875" style="445" hidden="1"/>
  </cols>
  <sheetData>
    <row r="1" spans="1:9" ht="33.75" customHeight="1" x14ac:dyDescent="0.2">
      <c r="A1" s="486" t="s">
        <v>338</v>
      </c>
      <c r="B1" s="486" t="s">
        <v>102</v>
      </c>
      <c r="C1" s="487" t="s">
        <v>339</v>
      </c>
      <c r="D1" s="486" t="s">
        <v>340</v>
      </c>
      <c r="E1" s="880" t="s">
        <v>341</v>
      </c>
      <c r="F1" s="880"/>
    </row>
    <row r="2" spans="1:9" x14ac:dyDescent="0.2">
      <c r="A2" s="499">
        <v>30000</v>
      </c>
      <c r="B2" s="497">
        <v>3.95E-2</v>
      </c>
      <c r="C2" s="498">
        <v>10</v>
      </c>
      <c r="D2" s="488">
        <f>-PMT(B2/12,12*C2,B6)</f>
        <v>303.02303559241676</v>
      </c>
      <c r="E2" s="881">
        <v>43831</v>
      </c>
      <c r="F2" s="881"/>
    </row>
    <row r="3" spans="1:9" x14ac:dyDescent="0.2">
      <c r="A3" s="444"/>
      <c r="B3" s="489"/>
      <c r="C3" s="490"/>
      <c r="D3" s="444"/>
      <c r="E3" s="491"/>
      <c r="F3" s="444"/>
    </row>
    <row r="4" spans="1:9" ht="21" x14ac:dyDescent="0.25">
      <c r="A4" s="879" t="s">
        <v>462</v>
      </c>
      <c r="B4" s="879"/>
      <c r="C4" s="879"/>
      <c r="D4" s="879"/>
      <c r="E4" s="879"/>
      <c r="F4" s="879"/>
      <c r="H4" s="476"/>
    </row>
    <row r="5" spans="1:9" ht="34" x14ac:dyDescent="0.2">
      <c r="A5" s="492" t="s">
        <v>343</v>
      </c>
      <c r="B5" s="492" t="s">
        <v>344</v>
      </c>
      <c r="C5" s="493" t="s">
        <v>340</v>
      </c>
      <c r="D5" s="493" t="s">
        <v>345</v>
      </c>
      <c r="E5" s="493" t="s">
        <v>346</v>
      </c>
      <c r="F5" s="492" t="s">
        <v>347</v>
      </c>
      <c r="H5" s="494"/>
      <c r="I5" s="495"/>
    </row>
    <row r="6" spans="1:9" x14ac:dyDescent="0.2">
      <c r="A6" s="496">
        <f>E2</f>
        <v>43831</v>
      </c>
      <c r="B6" s="470">
        <f>A2</f>
        <v>30000</v>
      </c>
      <c r="C6" s="472">
        <f>IF(ROUND(Tableau3626[[#This Row],[Solde début période]],2)&lt;=0,0,$D$2)</f>
        <v>303.02303559241676</v>
      </c>
      <c r="D6" s="472">
        <f t="shared" ref="D6:D69" si="0">B6*($B$2/12)</f>
        <v>98.75</v>
      </c>
      <c r="E6" s="472">
        <f t="shared" ref="E6:E69" si="1">C6-D6</f>
        <v>204.27303559241676</v>
      </c>
      <c r="F6" s="470">
        <f t="shared" ref="F6:F69" si="2">B6-E6</f>
        <v>29795.726964407582</v>
      </c>
      <c r="G6" s="470"/>
    </row>
    <row r="7" spans="1:9" x14ac:dyDescent="0.2">
      <c r="A7" s="496">
        <f>EDATE(A6,1)</f>
        <v>43862</v>
      </c>
      <c r="B7" s="470">
        <f t="shared" ref="B7:B70" si="3">F6</f>
        <v>29795.726964407582</v>
      </c>
      <c r="C7" s="472">
        <f>IF(ROUND(Tableau3626[[#This Row],[Solde début période]],2)&lt;=0,0,$D$2)</f>
        <v>303.02303559241676</v>
      </c>
      <c r="D7" s="472">
        <f t="shared" si="0"/>
        <v>98.077601257841621</v>
      </c>
      <c r="E7" s="472">
        <f t="shared" si="1"/>
        <v>204.94543433457514</v>
      </c>
      <c r="F7" s="470">
        <f t="shared" si="2"/>
        <v>29590.781530073007</v>
      </c>
      <c r="G7" s="470"/>
    </row>
    <row r="8" spans="1:9" x14ac:dyDescent="0.2">
      <c r="A8" s="496">
        <f t="shared" ref="A8:A71" si="4">EDATE(A7,1)</f>
        <v>43891</v>
      </c>
      <c r="B8" s="470">
        <f t="shared" si="3"/>
        <v>29590.781530073007</v>
      </c>
      <c r="C8" s="472">
        <f>IF(ROUND(Tableau3626[[#This Row],[Solde début période]],2)&lt;=0,0,$D$2)</f>
        <v>303.02303559241676</v>
      </c>
      <c r="D8" s="472">
        <f t="shared" si="0"/>
        <v>97.402989203156977</v>
      </c>
      <c r="E8" s="472">
        <f t="shared" si="1"/>
        <v>205.62004638925978</v>
      </c>
      <c r="F8" s="470">
        <f t="shared" si="2"/>
        <v>29385.161483683747</v>
      </c>
      <c r="G8" s="470"/>
    </row>
    <row r="9" spans="1:9" x14ac:dyDescent="0.2">
      <c r="A9" s="496">
        <f t="shared" si="4"/>
        <v>43922</v>
      </c>
      <c r="B9" s="470">
        <f t="shared" si="3"/>
        <v>29385.161483683747</v>
      </c>
      <c r="C9" s="472">
        <f>IF(ROUND(Tableau3626[[#This Row],[Solde début période]],2)&lt;=0,0,$D$2)</f>
        <v>303.02303559241676</v>
      </c>
      <c r="D9" s="472">
        <f t="shared" si="0"/>
        <v>96.726156550458995</v>
      </c>
      <c r="E9" s="472">
        <f t="shared" si="1"/>
        <v>206.29687904195777</v>
      </c>
      <c r="F9" s="470">
        <f t="shared" si="2"/>
        <v>29178.864604641789</v>
      </c>
      <c r="G9" s="470"/>
    </row>
    <row r="10" spans="1:9" x14ac:dyDescent="0.2">
      <c r="A10" s="496">
        <f t="shared" si="4"/>
        <v>43952</v>
      </c>
      <c r="B10" s="470">
        <f t="shared" si="3"/>
        <v>29178.864604641789</v>
      </c>
      <c r="C10" s="472">
        <f>IF(ROUND(Tableau3626[[#This Row],[Solde début période]],2)&lt;=0,0,$D$2)</f>
        <v>303.02303559241676</v>
      </c>
      <c r="D10" s="472">
        <f t="shared" si="0"/>
        <v>96.047095990279217</v>
      </c>
      <c r="E10" s="472">
        <f t="shared" si="1"/>
        <v>206.97593960213754</v>
      </c>
      <c r="F10" s="470">
        <f t="shared" si="2"/>
        <v>28971.888665039653</v>
      </c>
      <c r="G10" s="470"/>
    </row>
    <row r="11" spans="1:9" x14ac:dyDescent="0.2">
      <c r="A11" s="496">
        <f t="shared" si="4"/>
        <v>43983</v>
      </c>
      <c r="B11" s="470">
        <f t="shared" si="3"/>
        <v>28971.888665039653</v>
      </c>
      <c r="C11" s="472">
        <f>IF(ROUND(Tableau3626[[#This Row],[Solde début période]],2)&lt;=0,0,$D$2)</f>
        <v>303.02303559241676</v>
      </c>
      <c r="D11" s="472">
        <f t="shared" si="0"/>
        <v>95.365800189088858</v>
      </c>
      <c r="E11" s="472">
        <f t="shared" si="1"/>
        <v>207.65723540332789</v>
      </c>
      <c r="F11" s="470">
        <f t="shared" si="2"/>
        <v>28764.231429636326</v>
      </c>
      <c r="G11" s="470"/>
    </row>
    <row r="12" spans="1:9" x14ac:dyDescent="0.2">
      <c r="A12" s="496">
        <f t="shared" si="4"/>
        <v>44013</v>
      </c>
      <c r="B12" s="470">
        <f t="shared" si="3"/>
        <v>28764.231429636326</v>
      </c>
      <c r="C12" s="472">
        <f>IF(ROUND(Tableau3626[[#This Row],[Solde début période]],2)&lt;=0,0,$D$2)</f>
        <v>303.02303559241676</v>
      </c>
      <c r="D12" s="472">
        <f t="shared" si="0"/>
        <v>94.682261789219567</v>
      </c>
      <c r="E12" s="472">
        <f t="shared" si="1"/>
        <v>208.34077380319718</v>
      </c>
      <c r="F12" s="470">
        <f t="shared" si="2"/>
        <v>28555.890655833129</v>
      </c>
      <c r="G12" s="470"/>
    </row>
    <row r="13" spans="1:9" x14ac:dyDescent="0.2">
      <c r="A13" s="496">
        <f t="shared" si="4"/>
        <v>44044</v>
      </c>
      <c r="B13" s="470">
        <f t="shared" si="3"/>
        <v>28555.890655833129</v>
      </c>
      <c r="C13" s="472">
        <f>IF(ROUND(Tableau3626[[#This Row],[Solde début période]],2)&lt;=0,0,$D$2)</f>
        <v>303.02303559241676</v>
      </c>
      <c r="D13" s="472">
        <f t="shared" si="0"/>
        <v>93.996473408784055</v>
      </c>
      <c r="E13" s="472">
        <f t="shared" si="1"/>
        <v>209.02656218363271</v>
      </c>
      <c r="F13" s="470">
        <f t="shared" si="2"/>
        <v>28346.864093649496</v>
      </c>
      <c r="G13" s="470"/>
    </row>
    <row r="14" spans="1:9" x14ac:dyDescent="0.2">
      <c r="A14" s="496">
        <f t="shared" si="4"/>
        <v>44075</v>
      </c>
      <c r="B14" s="470">
        <f t="shared" si="3"/>
        <v>28346.864093649496</v>
      </c>
      <c r="C14" s="472">
        <f>IF(ROUND(Tableau3626[[#This Row],[Solde début période]],2)&lt;=0,0,$D$2)</f>
        <v>303.02303559241676</v>
      </c>
      <c r="D14" s="472">
        <f t="shared" si="0"/>
        <v>93.308427641596253</v>
      </c>
      <c r="E14" s="472">
        <f t="shared" si="1"/>
        <v>209.71460795082049</v>
      </c>
      <c r="F14" s="470">
        <f t="shared" si="2"/>
        <v>28137.149485698676</v>
      </c>
      <c r="G14" s="470"/>
    </row>
    <row r="15" spans="1:9" x14ac:dyDescent="0.2">
      <c r="A15" s="496">
        <f t="shared" si="4"/>
        <v>44105</v>
      </c>
      <c r="B15" s="470">
        <f t="shared" si="3"/>
        <v>28137.149485698676</v>
      </c>
      <c r="C15" s="472">
        <f>IF(ROUND(Tableau3626[[#This Row],[Solde début période]],2)&lt;=0,0,$D$2)</f>
        <v>303.02303559241676</v>
      </c>
      <c r="D15" s="472">
        <f t="shared" si="0"/>
        <v>92.618117057091482</v>
      </c>
      <c r="E15" s="472">
        <f t="shared" si="1"/>
        <v>210.40491853532529</v>
      </c>
      <c r="F15" s="470">
        <f t="shared" si="2"/>
        <v>27926.74456716335</v>
      </c>
      <c r="G15" s="470"/>
    </row>
    <row r="16" spans="1:9" x14ac:dyDescent="0.2">
      <c r="A16" s="496">
        <f t="shared" si="4"/>
        <v>44136</v>
      </c>
      <c r="B16" s="470">
        <f t="shared" si="3"/>
        <v>27926.74456716335</v>
      </c>
      <c r="C16" s="472">
        <f>IF(ROUND(Tableau3626[[#This Row],[Solde début période]],2)&lt;=0,0,$D$2)</f>
        <v>303.02303559241676</v>
      </c>
      <c r="D16" s="472">
        <f t="shared" si="0"/>
        <v>91.925534200246034</v>
      </c>
      <c r="E16" s="472">
        <f t="shared" si="1"/>
        <v>211.09750139217073</v>
      </c>
      <c r="F16" s="470">
        <f t="shared" si="2"/>
        <v>27715.64706577118</v>
      </c>
      <c r="G16" s="470"/>
    </row>
    <row r="17" spans="1:7" x14ac:dyDescent="0.2">
      <c r="A17" s="496">
        <f t="shared" si="4"/>
        <v>44166</v>
      </c>
      <c r="B17" s="470">
        <f t="shared" si="3"/>
        <v>27715.64706577118</v>
      </c>
      <c r="C17" s="472">
        <f>IF(ROUND(Tableau3626[[#This Row],[Solde début période]],2)&lt;=0,0,$D$2)</f>
        <v>303.02303559241676</v>
      </c>
      <c r="D17" s="472">
        <f t="shared" si="0"/>
        <v>91.230671591496801</v>
      </c>
      <c r="E17" s="472">
        <f t="shared" si="1"/>
        <v>211.79236400091997</v>
      </c>
      <c r="F17" s="470">
        <f t="shared" si="2"/>
        <v>27503.854701770259</v>
      </c>
      <c r="G17" s="470"/>
    </row>
    <row r="18" spans="1:7" x14ac:dyDescent="0.2">
      <c r="A18" s="496">
        <f t="shared" si="4"/>
        <v>44197</v>
      </c>
      <c r="B18" s="470">
        <f t="shared" si="3"/>
        <v>27503.854701770259</v>
      </c>
      <c r="C18" s="472">
        <f>IF(ROUND(Tableau3626[[#This Row],[Solde début période]],2)&lt;=0,0,$D$2)</f>
        <v>303.02303559241676</v>
      </c>
      <c r="D18" s="472">
        <f t="shared" si="0"/>
        <v>90.533521726660439</v>
      </c>
      <c r="E18" s="472">
        <f t="shared" si="1"/>
        <v>212.48951386575632</v>
      </c>
      <c r="F18" s="470">
        <f t="shared" si="2"/>
        <v>27291.365187904503</v>
      </c>
      <c r="G18" s="470"/>
    </row>
    <row r="19" spans="1:7" x14ac:dyDescent="0.2">
      <c r="A19" s="496">
        <f t="shared" si="4"/>
        <v>44228</v>
      </c>
      <c r="B19" s="470">
        <f t="shared" si="3"/>
        <v>27291.365187904503</v>
      </c>
      <c r="C19" s="472">
        <f>IF(ROUND(Tableau3626[[#This Row],[Solde début période]],2)&lt;=0,0,$D$2)</f>
        <v>303.02303559241676</v>
      </c>
      <c r="D19" s="472">
        <f t="shared" si="0"/>
        <v>89.834077076852324</v>
      </c>
      <c r="E19" s="472">
        <f t="shared" si="1"/>
        <v>213.18895851556442</v>
      </c>
      <c r="F19" s="470">
        <f t="shared" si="2"/>
        <v>27078.176229388937</v>
      </c>
      <c r="G19" s="470"/>
    </row>
    <row r="20" spans="1:7" x14ac:dyDescent="0.2">
      <c r="A20" s="496">
        <f t="shared" si="4"/>
        <v>44256</v>
      </c>
      <c r="B20" s="470">
        <f t="shared" si="3"/>
        <v>27078.176229388937</v>
      </c>
      <c r="C20" s="472">
        <f>IF(ROUND(Tableau3626[[#This Row],[Solde début période]],2)&lt;=0,0,$D$2)</f>
        <v>303.02303559241676</v>
      </c>
      <c r="D20" s="472">
        <f t="shared" si="0"/>
        <v>89.132330088405254</v>
      </c>
      <c r="E20" s="472">
        <f t="shared" si="1"/>
        <v>213.89070550401152</v>
      </c>
      <c r="F20" s="470">
        <f t="shared" si="2"/>
        <v>26864.285523884926</v>
      </c>
      <c r="G20" s="470"/>
    </row>
    <row r="21" spans="1:7" x14ac:dyDescent="0.2">
      <c r="A21" s="496">
        <f t="shared" si="4"/>
        <v>44287</v>
      </c>
      <c r="B21" s="470">
        <f t="shared" si="3"/>
        <v>26864.285523884926</v>
      </c>
      <c r="C21" s="472">
        <f>IF(ROUND(Tableau3626[[#This Row],[Solde début période]],2)&lt;=0,0,$D$2)</f>
        <v>303.02303559241676</v>
      </c>
      <c r="D21" s="472">
        <f t="shared" si="0"/>
        <v>88.428273182787876</v>
      </c>
      <c r="E21" s="472">
        <f t="shared" si="1"/>
        <v>214.59476240962888</v>
      </c>
      <c r="F21" s="470">
        <f t="shared" si="2"/>
        <v>26649.690761475296</v>
      </c>
      <c r="G21" s="470"/>
    </row>
    <row r="22" spans="1:7" x14ac:dyDescent="0.2">
      <c r="A22" s="496">
        <f t="shared" si="4"/>
        <v>44317</v>
      </c>
      <c r="B22" s="470">
        <f t="shared" si="3"/>
        <v>26649.690761475296</v>
      </c>
      <c r="C22" s="472">
        <f>IF(ROUND(Tableau3626[[#This Row],[Solde début période]],2)&lt;=0,0,$D$2)</f>
        <v>303.02303559241676</v>
      </c>
      <c r="D22" s="472">
        <f t="shared" si="0"/>
        <v>87.721898756522847</v>
      </c>
      <c r="E22" s="472">
        <f t="shared" si="1"/>
        <v>215.30113683589391</v>
      </c>
      <c r="F22" s="470">
        <f t="shared" si="2"/>
        <v>26434.389624639403</v>
      </c>
      <c r="G22" s="470"/>
    </row>
    <row r="23" spans="1:7" x14ac:dyDescent="0.2">
      <c r="A23" s="496">
        <f t="shared" si="4"/>
        <v>44348</v>
      </c>
      <c r="B23" s="470">
        <f t="shared" si="3"/>
        <v>26434.389624639403</v>
      </c>
      <c r="C23" s="472">
        <f>IF(ROUND(Tableau3626[[#This Row],[Solde début période]],2)&lt;=0,0,$D$2)</f>
        <v>303.02303559241676</v>
      </c>
      <c r="D23" s="472">
        <f t="shared" si="0"/>
        <v>87.01319918110471</v>
      </c>
      <c r="E23" s="472">
        <f t="shared" si="1"/>
        <v>216.00983641131205</v>
      </c>
      <c r="F23" s="470">
        <f t="shared" si="2"/>
        <v>26218.379788228092</v>
      </c>
      <c r="G23" s="470"/>
    </row>
    <row r="24" spans="1:7" x14ac:dyDescent="0.2">
      <c r="A24" s="496">
        <f t="shared" si="4"/>
        <v>44378</v>
      </c>
      <c r="B24" s="470">
        <f t="shared" si="3"/>
        <v>26218.379788228092</v>
      </c>
      <c r="C24" s="472">
        <f>IF(ROUND(Tableau3626[[#This Row],[Solde début période]],2)&lt;=0,0,$D$2)</f>
        <v>303.02303559241676</v>
      </c>
      <c r="D24" s="472">
        <f t="shared" si="0"/>
        <v>86.302166802917469</v>
      </c>
      <c r="E24" s="472">
        <f t="shared" si="1"/>
        <v>216.72086878949929</v>
      </c>
      <c r="F24" s="470">
        <f t="shared" si="2"/>
        <v>26001.658919438592</v>
      </c>
      <c r="G24" s="470"/>
    </row>
    <row r="25" spans="1:7" x14ac:dyDescent="0.2">
      <c r="A25" s="496">
        <f t="shared" si="4"/>
        <v>44409</v>
      </c>
      <c r="B25" s="470">
        <f t="shared" si="3"/>
        <v>26001.658919438592</v>
      </c>
      <c r="C25" s="472">
        <f>IF(ROUND(Tableau3626[[#This Row],[Solde début période]],2)&lt;=0,0,$D$2)</f>
        <v>303.02303559241676</v>
      </c>
      <c r="D25" s="472">
        <f t="shared" si="0"/>
        <v>85.588793943152041</v>
      </c>
      <c r="E25" s="472">
        <f t="shared" si="1"/>
        <v>217.43424164926472</v>
      </c>
      <c r="F25" s="470">
        <f t="shared" si="2"/>
        <v>25784.224677789327</v>
      </c>
      <c r="G25" s="470"/>
    </row>
    <row r="26" spans="1:7" x14ac:dyDescent="0.2">
      <c r="A26" s="496">
        <f t="shared" si="4"/>
        <v>44440</v>
      </c>
      <c r="B26" s="470">
        <f t="shared" si="3"/>
        <v>25784.224677789327</v>
      </c>
      <c r="C26" s="472">
        <f>IF(ROUND(Tableau3626[[#This Row],[Solde début période]],2)&lt;=0,0,$D$2)</f>
        <v>303.02303559241676</v>
      </c>
      <c r="D26" s="472">
        <f t="shared" si="0"/>
        <v>84.873072897723205</v>
      </c>
      <c r="E26" s="472">
        <f t="shared" si="1"/>
        <v>218.14996269469356</v>
      </c>
      <c r="F26" s="470">
        <f t="shared" si="2"/>
        <v>25566.074715094634</v>
      </c>
      <c r="G26" s="470"/>
    </row>
    <row r="27" spans="1:7" x14ac:dyDescent="0.2">
      <c r="A27" s="496">
        <f t="shared" si="4"/>
        <v>44470</v>
      </c>
      <c r="B27" s="470">
        <f t="shared" si="3"/>
        <v>25566.074715094634</v>
      </c>
      <c r="C27" s="472">
        <f>IF(ROUND(Tableau3626[[#This Row],[Solde début période]],2)&lt;=0,0,$D$2)</f>
        <v>303.02303559241676</v>
      </c>
      <c r="D27" s="472">
        <f t="shared" si="0"/>
        <v>84.154995937186499</v>
      </c>
      <c r="E27" s="472">
        <f t="shared" si="1"/>
        <v>218.86803965523026</v>
      </c>
      <c r="F27" s="470">
        <f t="shared" si="2"/>
        <v>25347.206675439404</v>
      </c>
      <c r="G27" s="470"/>
    </row>
    <row r="28" spans="1:7" x14ac:dyDescent="0.2">
      <c r="A28" s="496">
        <f t="shared" si="4"/>
        <v>44501</v>
      </c>
      <c r="B28" s="470">
        <f t="shared" si="3"/>
        <v>25347.206675439404</v>
      </c>
      <c r="C28" s="472">
        <f>IF(ROUND(Tableau3626[[#This Row],[Solde début période]],2)&lt;=0,0,$D$2)</f>
        <v>303.02303559241676</v>
      </c>
      <c r="D28" s="472">
        <f t="shared" si="0"/>
        <v>83.434555306654701</v>
      </c>
      <c r="E28" s="472">
        <f t="shared" si="1"/>
        <v>219.58848028576205</v>
      </c>
      <c r="F28" s="470">
        <f t="shared" si="2"/>
        <v>25127.618195153642</v>
      </c>
      <c r="G28" s="470"/>
    </row>
    <row r="29" spans="1:7" x14ac:dyDescent="0.2">
      <c r="A29" s="496">
        <f t="shared" si="4"/>
        <v>44531</v>
      </c>
      <c r="B29" s="470">
        <f t="shared" si="3"/>
        <v>25127.618195153642</v>
      </c>
      <c r="C29" s="472">
        <f>IF(ROUND(Tableau3626[[#This Row],[Solde début période]],2)&lt;=0,0,$D$2)</f>
        <v>303.02303559241676</v>
      </c>
      <c r="D29" s="472">
        <f t="shared" si="0"/>
        <v>82.711743225714073</v>
      </c>
      <c r="E29" s="472">
        <f t="shared" si="1"/>
        <v>220.31129236670267</v>
      </c>
      <c r="F29" s="470">
        <f t="shared" si="2"/>
        <v>24907.306902786939</v>
      </c>
      <c r="G29" s="470"/>
    </row>
    <row r="30" spans="1:7" x14ac:dyDescent="0.2">
      <c r="A30" s="496">
        <f t="shared" si="4"/>
        <v>44562</v>
      </c>
      <c r="B30" s="470">
        <f t="shared" si="3"/>
        <v>24907.306902786939</v>
      </c>
      <c r="C30" s="472">
        <f>IF(ROUND(Tableau3626[[#This Row],[Solde début période]],2)&lt;=0,0,$D$2)</f>
        <v>303.02303559241676</v>
      </c>
      <c r="D30" s="472">
        <f t="shared" si="0"/>
        <v>81.986551888340344</v>
      </c>
      <c r="E30" s="472">
        <f t="shared" si="1"/>
        <v>221.03648370407643</v>
      </c>
      <c r="F30" s="470">
        <f t="shared" si="2"/>
        <v>24686.270419082863</v>
      </c>
      <c r="G30" s="470"/>
    </row>
    <row r="31" spans="1:7" x14ac:dyDescent="0.2">
      <c r="A31" s="496">
        <f t="shared" si="4"/>
        <v>44593</v>
      </c>
      <c r="B31" s="470">
        <f t="shared" si="3"/>
        <v>24686.270419082863</v>
      </c>
      <c r="C31" s="472">
        <f>IF(ROUND(Tableau3626[[#This Row],[Solde début période]],2)&lt;=0,0,$D$2)</f>
        <v>303.02303559241676</v>
      </c>
      <c r="D31" s="472">
        <f t="shared" si="0"/>
        <v>81.258973462814424</v>
      </c>
      <c r="E31" s="472">
        <f t="shared" si="1"/>
        <v>221.76406212960234</v>
      </c>
      <c r="F31" s="470">
        <f t="shared" si="2"/>
        <v>24464.506356953261</v>
      </c>
      <c r="G31" s="470"/>
    </row>
    <row r="32" spans="1:7" x14ac:dyDescent="0.2">
      <c r="A32" s="496">
        <f t="shared" si="4"/>
        <v>44621</v>
      </c>
      <c r="B32" s="470">
        <f t="shared" si="3"/>
        <v>24464.506356953261</v>
      </c>
      <c r="C32" s="472">
        <f>IF(ROUND(Tableau3626[[#This Row],[Solde début période]],2)&lt;=0,0,$D$2)</f>
        <v>303.02303559241676</v>
      </c>
      <c r="D32" s="472">
        <f t="shared" si="0"/>
        <v>80.529000091637826</v>
      </c>
      <c r="E32" s="472">
        <f t="shared" si="1"/>
        <v>222.49403550077892</v>
      </c>
      <c r="F32" s="470">
        <f t="shared" si="2"/>
        <v>24242.012321452483</v>
      </c>
      <c r="G32" s="470"/>
    </row>
    <row r="33" spans="1:7" x14ac:dyDescent="0.2">
      <c r="A33" s="496">
        <f t="shared" si="4"/>
        <v>44652</v>
      </c>
      <c r="B33" s="470">
        <f t="shared" si="3"/>
        <v>24242.012321452483</v>
      </c>
      <c r="C33" s="472">
        <f>IF(ROUND(Tableau3626[[#This Row],[Solde début période]],2)&lt;=0,0,$D$2)</f>
        <v>303.02303559241676</v>
      </c>
      <c r="D33" s="472">
        <f t="shared" si="0"/>
        <v>79.796623891447751</v>
      </c>
      <c r="E33" s="472">
        <f t="shared" si="1"/>
        <v>223.22641170096901</v>
      </c>
      <c r="F33" s="470">
        <f t="shared" si="2"/>
        <v>24018.785909751514</v>
      </c>
      <c r="G33" s="470"/>
    </row>
    <row r="34" spans="1:7" x14ac:dyDescent="0.2">
      <c r="A34" s="496">
        <f t="shared" si="4"/>
        <v>44682</v>
      </c>
      <c r="B34" s="470">
        <f t="shared" si="3"/>
        <v>24018.785909751514</v>
      </c>
      <c r="C34" s="472">
        <f>IF(ROUND(Tableau3626[[#This Row],[Solde début période]],2)&lt;=0,0,$D$2)</f>
        <v>303.02303559241676</v>
      </c>
      <c r="D34" s="472">
        <f t="shared" si="0"/>
        <v>79.061836952932069</v>
      </c>
      <c r="E34" s="472">
        <f t="shared" si="1"/>
        <v>223.96119863948468</v>
      </c>
      <c r="F34" s="470">
        <f t="shared" si="2"/>
        <v>23794.824711112029</v>
      </c>
      <c r="G34" s="470"/>
    </row>
    <row r="35" spans="1:7" x14ac:dyDescent="0.2">
      <c r="A35" s="496">
        <f t="shared" si="4"/>
        <v>44713</v>
      </c>
      <c r="B35" s="470">
        <f t="shared" si="3"/>
        <v>23794.824711112029</v>
      </c>
      <c r="C35" s="472">
        <f>IF(ROUND(Tableau3626[[#This Row],[Solde début période]],2)&lt;=0,0,$D$2)</f>
        <v>303.02303559241676</v>
      </c>
      <c r="D35" s="472">
        <f t="shared" si="0"/>
        <v>78.324631340743764</v>
      </c>
      <c r="E35" s="472">
        <f t="shared" si="1"/>
        <v>224.698404251673</v>
      </c>
      <c r="F35" s="470">
        <f t="shared" si="2"/>
        <v>23570.126306860355</v>
      </c>
      <c r="G35" s="470"/>
    </row>
    <row r="36" spans="1:7" x14ac:dyDescent="0.2">
      <c r="A36" s="496">
        <f t="shared" si="4"/>
        <v>44743</v>
      </c>
      <c r="B36" s="470">
        <f t="shared" si="3"/>
        <v>23570.126306860355</v>
      </c>
      <c r="C36" s="472">
        <f>IF(ROUND(Tableau3626[[#This Row],[Solde début période]],2)&lt;=0,0,$D$2)</f>
        <v>303.02303559241676</v>
      </c>
      <c r="D36" s="472">
        <f t="shared" si="0"/>
        <v>77.584999093415334</v>
      </c>
      <c r="E36" s="472">
        <f t="shared" si="1"/>
        <v>225.43803649900144</v>
      </c>
      <c r="F36" s="470">
        <f t="shared" si="2"/>
        <v>23344.688270361352</v>
      </c>
      <c r="G36" s="470"/>
    </row>
    <row r="37" spans="1:7" x14ac:dyDescent="0.2">
      <c r="A37" s="496">
        <f t="shared" si="4"/>
        <v>44774</v>
      </c>
      <c r="B37" s="470">
        <f t="shared" si="3"/>
        <v>23344.688270361352</v>
      </c>
      <c r="C37" s="472">
        <f>IF(ROUND(Tableau3626[[#This Row],[Solde début période]],2)&lt;=0,0,$D$2)</f>
        <v>303.02303559241676</v>
      </c>
      <c r="D37" s="472">
        <f t="shared" si="0"/>
        <v>76.842932223272783</v>
      </c>
      <c r="E37" s="472">
        <f t="shared" si="1"/>
        <v>226.18010336914398</v>
      </c>
      <c r="F37" s="470">
        <f t="shared" si="2"/>
        <v>23118.508166992207</v>
      </c>
      <c r="G37" s="470"/>
    </row>
    <row r="38" spans="1:7" x14ac:dyDescent="0.2">
      <c r="A38" s="496">
        <f t="shared" si="4"/>
        <v>44805</v>
      </c>
      <c r="B38" s="470">
        <f t="shared" si="3"/>
        <v>23118.508166992207</v>
      </c>
      <c r="C38" s="472">
        <f>IF(ROUND(Tableau3626[[#This Row],[Solde début période]],2)&lt;=0,0,$D$2)</f>
        <v>303.02303559241676</v>
      </c>
      <c r="D38" s="472">
        <f t="shared" si="0"/>
        <v>76.098422716349347</v>
      </c>
      <c r="E38" s="472">
        <f t="shared" si="1"/>
        <v>226.92461287606741</v>
      </c>
      <c r="F38" s="470">
        <f t="shared" si="2"/>
        <v>22891.58355411614</v>
      </c>
      <c r="G38" s="470"/>
    </row>
    <row r="39" spans="1:7" x14ac:dyDescent="0.2">
      <c r="A39" s="496">
        <f t="shared" si="4"/>
        <v>44835</v>
      </c>
      <c r="B39" s="470">
        <f t="shared" si="3"/>
        <v>22891.58355411614</v>
      </c>
      <c r="C39" s="472">
        <f>IF(ROUND(Tableau3626[[#This Row],[Solde début période]],2)&lt;=0,0,$D$2)</f>
        <v>303.02303559241676</v>
      </c>
      <c r="D39" s="472">
        <f t="shared" si="0"/>
        <v>75.351462532298953</v>
      </c>
      <c r="E39" s="472">
        <f t="shared" si="1"/>
        <v>227.67157306011779</v>
      </c>
      <c r="F39" s="470">
        <f t="shared" si="2"/>
        <v>22663.911981056022</v>
      </c>
      <c r="G39" s="470"/>
    </row>
    <row r="40" spans="1:7" x14ac:dyDescent="0.2">
      <c r="A40" s="496">
        <f t="shared" si="4"/>
        <v>44866</v>
      </c>
      <c r="B40" s="470">
        <f t="shared" si="3"/>
        <v>22663.911981056022</v>
      </c>
      <c r="C40" s="472">
        <f>IF(ROUND(Tableau3626[[#This Row],[Solde début période]],2)&lt;=0,0,$D$2)</f>
        <v>303.02303559241676</v>
      </c>
      <c r="D40" s="472">
        <f t="shared" si="0"/>
        <v>74.602043604309401</v>
      </c>
      <c r="E40" s="472">
        <f t="shared" si="1"/>
        <v>228.42099198810735</v>
      </c>
      <c r="F40" s="470">
        <f t="shared" si="2"/>
        <v>22435.490989067916</v>
      </c>
      <c r="G40" s="470"/>
    </row>
    <row r="41" spans="1:7" x14ac:dyDescent="0.2">
      <c r="A41" s="496">
        <f t="shared" si="4"/>
        <v>44896</v>
      </c>
      <c r="B41" s="470">
        <f t="shared" si="3"/>
        <v>22435.490989067916</v>
      </c>
      <c r="C41" s="472">
        <f>IF(ROUND(Tableau3626[[#This Row],[Solde début période]],2)&lt;=0,0,$D$2)</f>
        <v>303.02303559241676</v>
      </c>
      <c r="D41" s="472">
        <f t="shared" si="0"/>
        <v>73.850157839015225</v>
      </c>
      <c r="E41" s="472">
        <f t="shared" si="1"/>
        <v>229.17287775340154</v>
      </c>
      <c r="F41" s="470">
        <f t="shared" si="2"/>
        <v>22206.318111314515</v>
      </c>
      <c r="G41" s="470"/>
    </row>
    <row r="42" spans="1:7" x14ac:dyDescent="0.2">
      <c r="A42" s="496">
        <f t="shared" si="4"/>
        <v>44927</v>
      </c>
      <c r="B42" s="470">
        <f t="shared" si="3"/>
        <v>22206.318111314515</v>
      </c>
      <c r="C42" s="472">
        <f>IF(ROUND(Tableau3626[[#This Row],[Solde début période]],2)&lt;=0,0,$D$2)</f>
        <v>303.02303559241676</v>
      </c>
      <c r="D42" s="472">
        <f t="shared" si="0"/>
        <v>73.095797116410282</v>
      </c>
      <c r="E42" s="472">
        <f t="shared" si="1"/>
        <v>229.92723847600649</v>
      </c>
      <c r="F42" s="470">
        <f t="shared" si="2"/>
        <v>21976.390872838507</v>
      </c>
      <c r="G42" s="470"/>
    </row>
    <row r="43" spans="1:7" x14ac:dyDescent="0.2">
      <c r="A43" s="496">
        <f t="shared" si="4"/>
        <v>44958</v>
      </c>
      <c r="B43" s="470">
        <f t="shared" si="3"/>
        <v>21976.390872838507</v>
      </c>
      <c r="C43" s="472">
        <f>IF(ROUND(Tableau3626[[#This Row],[Solde début période]],2)&lt;=0,0,$D$2)</f>
        <v>303.02303559241676</v>
      </c>
      <c r="D43" s="472">
        <f t="shared" si="0"/>
        <v>72.338953289760084</v>
      </c>
      <c r="E43" s="472">
        <f t="shared" si="1"/>
        <v>230.68408230265669</v>
      </c>
      <c r="F43" s="470">
        <f t="shared" si="2"/>
        <v>21745.706790535849</v>
      </c>
      <c r="G43" s="470"/>
    </row>
    <row r="44" spans="1:7" x14ac:dyDescent="0.2">
      <c r="A44" s="496">
        <f t="shared" si="4"/>
        <v>44986</v>
      </c>
      <c r="B44" s="470">
        <f t="shared" si="3"/>
        <v>21745.706790535849</v>
      </c>
      <c r="C44" s="472">
        <f>IF(ROUND(Tableau3626[[#This Row],[Solde début période]],2)&lt;=0,0,$D$2)</f>
        <v>303.02303559241676</v>
      </c>
      <c r="D44" s="472">
        <f t="shared" si="0"/>
        <v>71.579618185513837</v>
      </c>
      <c r="E44" s="472">
        <f t="shared" si="1"/>
        <v>231.44341740690294</v>
      </c>
      <c r="F44" s="470">
        <f t="shared" si="2"/>
        <v>21514.263373128946</v>
      </c>
      <c r="G44" s="470"/>
    </row>
    <row r="45" spans="1:7" x14ac:dyDescent="0.2">
      <c r="A45" s="496">
        <f t="shared" si="4"/>
        <v>45017</v>
      </c>
      <c r="B45" s="470">
        <f t="shared" si="3"/>
        <v>21514.263373128946</v>
      </c>
      <c r="C45" s="472">
        <f>IF(ROUND(Tableau3626[[#This Row],[Solde début période]],2)&lt;=0,0,$D$2)</f>
        <v>303.02303559241676</v>
      </c>
      <c r="D45" s="472">
        <f t="shared" si="0"/>
        <v>70.817783603216114</v>
      </c>
      <c r="E45" s="472">
        <f t="shared" si="1"/>
        <v>232.20525198920063</v>
      </c>
      <c r="F45" s="470">
        <f t="shared" si="2"/>
        <v>21282.058121139744</v>
      </c>
      <c r="G45" s="470"/>
    </row>
    <row r="46" spans="1:7" x14ac:dyDescent="0.2">
      <c r="A46" s="496">
        <f t="shared" si="4"/>
        <v>45047</v>
      </c>
      <c r="B46" s="470">
        <f t="shared" si="3"/>
        <v>21282.058121139744</v>
      </c>
      <c r="C46" s="472">
        <f>IF(ROUND(Tableau3626[[#This Row],[Solde début période]],2)&lt;=0,0,$D$2)</f>
        <v>303.02303559241676</v>
      </c>
      <c r="D46" s="472">
        <f t="shared" si="0"/>
        <v>70.053441315418326</v>
      </c>
      <c r="E46" s="472">
        <f t="shared" si="1"/>
        <v>232.96959427699844</v>
      </c>
      <c r="F46" s="470">
        <f t="shared" si="2"/>
        <v>21049.088526862746</v>
      </c>
      <c r="G46" s="470"/>
    </row>
    <row r="47" spans="1:7" x14ac:dyDescent="0.2">
      <c r="A47" s="496">
        <f t="shared" si="4"/>
        <v>45078</v>
      </c>
      <c r="B47" s="470">
        <f t="shared" si="3"/>
        <v>21049.088526862746</v>
      </c>
      <c r="C47" s="472">
        <f>IF(ROUND(Tableau3626[[#This Row],[Solde début période]],2)&lt;=0,0,$D$2)</f>
        <v>303.02303559241676</v>
      </c>
      <c r="D47" s="472">
        <f t="shared" si="0"/>
        <v>69.286583067589874</v>
      </c>
      <c r="E47" s="472">
        <f t="shared" si="1"/>
        <v>233.73645252482689</v>
      </c>
      <c r="F47" s="470">
        <f t="shared" si="2"/>
        <v>20815.352074337919</v>
      </c>
      <c r="G47" s="470"/>
    </row>
    <row r="48" spans="1:7" x14ac:dyDescent="0.2">
      <c r="A48" s="496">
        <f t="shared" si="4"/>
        <v>45108</v>
      </c>
      <c r="B48" s="470">
        <f t="shared" si="3"/>
        <v>20815.352074337919</v>
      </c>
      <c r="C48" s="472">
        <f>IF(ROUND(Tableau3626[[#This Row],[Solde début période]],2)&lt;=0,0,$D$2)</f>
        <v>303.02303559241676</v>
      </c>
      <c r="D48" s="472">
        <f t="shared" si="0"/>
        <v>68.517200578028991</v>
      </c>
      <c r="E48" s="472">
        <f t="shared" si="1"/>
        <v>234.50583501438777</v>
      </c>
      <c r="F48" s="470">
        <f t="shared" si="2"/>
        <v>20580.846239323531</v>
      </c>
      <c r="G48" s="470"/>
    </row>
    <row r="49" spans="1:7" x14ac:dyDescent="0.2">
      <c r="A49" s="496">
        <f t="shared" si="4"/>
        <v>45139</v>
      </c>
      <c r="B49" s="470">
        <f t="shared" si="3"/>
        <v>20580.846239323531</v>
      </c>
      <c r="C49" s="472">
        <f>IF(ROUND(Tableau3626[[#This Row],[Solde début période]],2)&lt;=0,0,$D$2)</f>
        <v>303.02303559241676</v>
      </c>
      <c r="D49" s="472">
        <f t="shared" si="0"/>
        <v>67.745285537773285</v>
      </c>
      <c r="E49" s="472">
        <f t="shared" si="1"/>
        <v>235.27775005464349</v>
      </c>
      <c r="F49" s="470">
        <f t="shared" si="2"/>
        <v>20345.568489268888</v>
      </c>
      <c r="G49" s="470"/>
    </row>
    <row r="50" spans="1:7" x14ac:dyDescent="0.2">
      <c r="A50" s="496">
        <f t="shared" si="4"/>
        <v>45170</v>
      </c>
      <c r="B50" s="470">
        <f t="shared" si="3"/>
        <v>20345.568489268888</v>
      </c>
      <c r="C50" s="472">
        <f>IF(ROUND(Tableau3626[[#This Row],[Solde début période]],2)&lt;=0,0,$D$2)</f>
        <v>303.02303559241676</v>
      </c>
      <c r="D50" s="472">
        <f t="shared" si="0"/>
        <v>66.970829610510094</v>
      </c>
      <c r="E50" s="472">
        <f t="shared" si="1"/>
        <v>236.05220598190667</v>
      </c>
      <c r="F50" s="470">
        <f t="shared" si="2"/>
        <v>20109.516283286983</v>
      </c>
      <c r="G50" s="470"/>
    </row>
    <row r="51" spans="1:7" x14ac:dyDescent="0.2">
      <c r="A51" s="496">
        <f t="shared" si="4"/>
        <v>45200</v>
      </c>
      <c r="B51" s="470">
        <f t="shared" si="3"/>
        <v>20109.516283286983</v>
      </c>
      <c r="C51" s="472">
        <f>IF(ROUND(Tableau3626[[#This Row],[Solde début période]],2)&lt;=0,0,$D$2)</f>
        <v>303.02303559241676</v>
      </c>
      <c r="D51" s="472">
        <f t="shared" si="0"/>
        <v>66.193824432486323</v>
      </c>
      <c r="E51" s="472">
        <f t="shared" si="1"/>
        <v>236.82921115993042</v>
      </c>
      <c r="F51" s="470">
        <f t="shared" si="2"/>
        <v>19872.687072127053</v>
      </c>
      <c r="G51" s="470"/>
    </row>
    <row r="52" spans="1:7" x14ac:dyDescent="0.2">
      <c r="A52" s="496">
        <f t="shared" si="4"/>
        <v>45231</v>
      </c>
      <c r="B52" s="470">
        <f t="shared" si="3"/>
        <v>19872.687072127053</v>
      </c>
      <c r="C52" s="472">
        <f>IF(ROUND(Tableau3626[[#This Row],[Solde début période]],2)&lt;=0,0,$D$2)</f>
        <v>303.02303559241676</v>
      </c>
      <c r="D52" s="472">
        <f t="shared" si="0"/>
        <v>65.414261612418215</v>
      </c>
      <c r="E52" s="472">
        <f t="shared" si="1"/>
        <v>237.60877397999855</v>
      </c>
      <c r="F52" s="470">
        <f t="shared" si="2"/>
        <v>19635.078298147055</v>
      </c>
      <c r="G52" s="470"/>
    </row>
    <row r="53" spans="1:7" x14ac:dyDescent="0.2">
      <c r="A53" s="496">
        <f t="shared" si="4"/>
        <v>45261</v>
      </c>
      <c r="B53" s="470">
        <f t="shared" si="3"/>
        <v>19635.078298147055</v>
      </c>
      <c r="C53" s="472">
        <f>IF(ROUND(Tableau3626[[#This Row],[Solde début période]],2)&lt;=0,0,$D$2)</f>
        <v>303.02303559241676</v>
      </c>
      <c r="D53" s="472">
        <f t="shared" si="0"/>
        <v>64.632132731400716</v>
      </c>
      <c r="E53" s="472">
        <f t="shared" si="1"/>
        <v>238.39090286101606</v>
      </c>
      <c r="F53" s="470">
        <f t="shared" si="2"/>
        <v>19396.687395286037</v>
      </c>
      <c r="G53" s="470"/>
    </row>
    <row r="54" spans="1:7" x14ac:dyDescent="0.2">
      <c r="A54" s="496">
        <f t="shared" si="4"/>
        <v>45292</v>
      </c>
      <c r="B54" s="470">
        <f t="shared" si="3"/>
        <v>19396.687395286037</v>
      </c>
      <c r="C54" s="472">
        <f>IF(ROUND(Tableau3626[[#This Row],[Solde début période]],2)&lt;=0,0,$D$2)</f>
        <v>303.02303559241676</v>
      </c>
      <c r="D54" s="472">
        <f t="shared" si="0"/>
        <v>63.84742934281654</v>
      </c>
      <c r="E54" s="472">
        <f t="shared" si="1"/>
        <v>239.17560624960021</v>
      </c>
      <c r="F54" s="470">
        <f t="shared" si="2"/>
        <v>19157.511789036438</v>
      </c>
      <c r="G54" s="470"/>
    </row>
    <row r="55" spans="1:7" x14ac:dyDescent="0.2">
      <c r="A55" s="496">
        <f t="shared" si="4"/>
        <v>45323</v>
      </c>
      <c r="B55" s="470">
        <f t="shared" si="3"/>
        <v>19157.511789036438</v>
      </c>
      <c r="C55" s="472">
        <f>IF(ROUND(Tableau3626[[#This Row],[Solde début période]],2)&lt;=0,0,$D$2)</f>
        <v>303.02303559241676</v>
      </c>
      <c r="D55" s="472">
        <f t="shared" si="0"/>
        <v>63.06014297224494</v>
      </c>
      <c r="E55" s="472">
        <f t="shared" si="1"/>
        <v>239.96289262017183</v>
      </c>
      <c r="F55" s="470">
        <f t="shared" si="2"/>
        <v>18917.548896416265</v>
      </c>
      <c r="G55" s="470"/>
    </row>
    <row r="56" spans="1:7" x14ac:dyDescent="0.2">
      <c r="A56" s="496">
        <f t="shared" si="4"/>
        <v>45352</v>
      </c>
      <c r="B56" s="470">
        <f t="shared" si="3"/>
        <v>18917.548896416265</v>
      </c>
      <c r="C56" s="472">
        <f>IF(ROUND(Tableau3626[[#This Row],[Solde début période]],2)&lt;=0,0,$D$2)</f>
        <v>303.02303559241676</v>
      </c>
      <c r="D56" s="472">
        <f t="shared" si="0"/>
        <v>62.270265117370208</v>
      </c>
      <c r="E56" s="472">
        <f t="shared" si="1"/>
        <v>240.75277047504656</v>
      </c>
      <c r="F56" s="470">
        <f t="shared" si="2"/>
        <v>18676.796125941219</v>
      </c>
      <c r="G56" s="470"/>
    </row>
    <row r="57" spans="1:7" x14ac:dyDescent="0.2">
      <c r="A57" s="496">
        <f t="shared" si="4"/>
        <v>45383</v>
      </c>
      <c r="B57" s="470">
        <f t="shared" si="3"/>
        <v>18676.796125941219</v>
      </c>
      <c r="C57" s="472">
        <f>IF(ROUND(Tableau3626[[#This Row],[Solde début période]],2)&lt;=0,0,$D$2)</f>
        <v>303.02303559241676</v>
      </c>
      <c r="D57" s="472">
        <f t="shared" si="0"/>
        <v>61.477787247889843</v>
      </c>
      <c r="E57" s="472">
        <f t="shared" si="1"/>
        <v>241.54524834452693</v>
      </c>
      <c r="F57" s="470">
        <f t="shared" si="2"/>
        <v>18435.250877596693</v>
      </c>
      <c r="G57" s="470"/>
    </row>
    <row r="58" spans="1:7" x14ac:dyDescent="0.2">
      <c r="A58" s="496">
        <f t="shared" si="4"/>
        <v>45413</v>
      </c>
      <c r="B58" s="470">
        <f t="shared" si="3"/>
        <v>18435.250877596693</v>
      </c>
      <c r="C58" s="472">
        <f>IF(ROUND(Tableau3626[[#This Row],[Solde début période]],2)&lt;=0,0,$D$2)</f>
        <v>303.02303559241676</v>
      </c>
      <c r="D58" s="472">
        <f t="shared" si="0"/>
        <v>60.682700805422449</v>
      </c>
      <c r="E58" s="472">
        <f t="shared" si="1"/>
        <v>242.3403347869943</v>
      </c>
      <c r="F58" s="470">
        <f t="shared" si="2"/>
        <v>18192.910542809699</v>
      </c>
      <c r="G58" s="470"/>
    </row>
    <row r="59" spans="1:7" x14ac:dyDescent="0.2">
      <c r="A59" s="496">
        <f t="shared" si="4"/>
        <v>45444</v>
      </c>
      <c r="B59" s="470">
        <f t="shared" si="3"/>
        <v>18192.910542809699</v>
      </c>
      <c r="C59" s="472">
        <f>IF(ROUND(Tableau3626[[#This Row],[Solde début période]],2)&lt;=0,0,$D$2)</f>
        <v>303.02303559241676</v>
      </c>
      <c r="D59" s="472">
        <f t="shared" si="0"/>
        <v>59.88499720341526</v>
      </c>
      <c r="E59" s="472">
        <f t="shared" si="1"/>
        <v>243.13803838900151</v>
      </c>
      <c r="F59" s="470">
        <f t="shared" si="2"/>
        <v>17949.772504420696</v>
      </c>
      <c r="G59" s="470"/>
    </row>
    <row r="60" spans="1:7" x14ac:dyDescent="0.2">
      <c r="A60" s="496">
        <f t="shared" si="4"/>
        <v>45474</v>
      </c>
      <c r="B60" s="470">
        <f t="shared" si="3"/>
        <v>17949.772504420696</v>
      </c>
      <c r="C60" s="472">
        <f>IF(ROUND(Tableau3626[[#This Row],[Solde début période]],2)&lt;=0,0,$D$2)</f>
        <v>303.02303559241676</v>
      </c>
      <c r="D60" s="472">
        <f t="shared" si="0"/>
        <v>59.084667827051462</v>
      </c>
      <c r="E60" s="472">
        <f t="shared" si="1"/>
        <v>243.93836776536529</v>
      </c>
      <c r="F60" s="470">
        <f t="shared" si="2"/>
        <v>17705.834136655332</v>
      </c>
      <c r="G60" s="470"/>
    </row>
    <row r="61" spans="1:7" x14ac:dyDescent="0.2">
      <c r="A61" s="496">
        <f t="shared" si="4"/>
        <v>45505</v>
      </c>
      <c r="B61" s="470">
        <f t="shared" si="3"/>
        <v>17705.834136655332</v>
      </c>
      <c r="C61" s="472">
        <f>IF(ROUND(Tableau3626[[#This Row],[Solde début période]],2)&lt;=0,0,$D$2)</f>
        <v>303.02303559241676</v>
      </c>
      <c r="D61" s="472">
        <f t="shared" si="0"/>
        <v>58.281704033157133</v>
      </c>
      <c r="E61" s="472">
        <f t="shared" si="1"/>
        <v>244.74133155925963</v>
      </c>
      <c r="F61" s="470">
        <f t="shared" si="2"/>
        <v>17461.092805096072</v>
      </c>
      <c r="G61" s="470"/>
    </row>
    <row r="62" spans="1:7" x14ac:dyDescent="0.2">
      <c r="A62" s="496">
        <f t="shared" si="4"/>
        <v>45536</v>
      </c>
      <c r="B62" s="470">
        <f t="shared" si="3"/>
        <v>17461.092805096072</v>
      </c>
      <c r="C62" s="472">
        <f>IF(ROUND(Tableau3626[[#This Row],[Solde début période]],2)&lt;=0,0,$D$2)</f>
        <v>303.02303559241676</v>
      </c>
      <c r="D62" s="472">
        <f t="shared" si="0"/>
        <v>57.476097150107904</v>
      </c>
      <c r="E62" s="472">
        <f t="shared" si="1"/>
        <v>245.54693844230886</v>
      </c>
      <c r="F62" s="470">
        <f t="shared" si="2"/>
        <v>17215.545866653763</v>
      </c>
      <c r="G62" s="470"/>
    </row>
    <row r="63" spans="1:7" x14ac:dyDescent="0.2">
      <c r="A63" s="496">
        <f t="shared" si="4"/>
        <v>45566</v>
      </c>
      <c r="B63" s="470">
        <f t="shared" si="3"/>
        <v>17215.545866653763</v>
      </c>
      <c r="C63" s="472">
        <f>IF(ROUND(Tableau3626[[#This Row],[Solde début période]],2)&lt;=0,0,$D$2)</f>
        <v>303.02303559241676</v>
      </c>
      <c r="D63" s="472">
        <f t="shared" si="0"/>
        <v>56.667838477735302</v>
      </c>
      <c r="E63" s="472">
        <f t="shared" si="1"/>
        <v>246.35519711468146</v>
      </c>
      <c r="F63" s="470">
        <f t="shared" si="2"/>
        <v>16969.190669539083</v>
      </c>
      <c r="G63" s="470"/>
    </row>
    <row r="64" spans="1:7" x14ac:dyDescent="0.2">
      <c r="A64" s="496">
        <f t="shared" si="4"/>
        <v>45597</v>
      </c>
      <c r="B64" s="470">
        <f t="shared" si="3"/>
        <v>16969.190669539083</v>
      </c>
      <c r="C64" s="472">
        <f>IF(ROUND(Tableau3626[[#This Row],[Solde début période]],2)&lt;=0,0,$D$2)</f>
        <v>303.02303559241676</v>
      </c>
      <c r="D64" s="472">
        <f t="shared" si="0"/>
        <v>55.856919287232813</v>
      </c>
      <c r="E64" s="472">
        <f t="shared" si="1"/>
        <v>247.16611630518395</v>
      </c>
      <c r="F64" s="470">
        <f t="shared" si="2"/>
        <v>16722.024553233899</v>
      </c>
      <c r="G64" s="470"/>
    </row>
    <row r="65" spans="1:7" x14ac:dyDescent="0.2">
      <c r="A65" s="496">
        <f t="shared" si="4"/>
        <v>45627</v>
      </c>
      <c r="B65" s="470">
        <f t="shared" si="3"/>
        <v>16722.024553233899</v>
      </c>
      <c r="C65" s="472">
        <f>IF(ROUND(Tableau3626[[#This Row],[Solde début période]],2)&lt;=0,0,$D$2)</f>
        <v>303.02303559241676</v>
      </c>
      <c r="D65" s="472">
        <f t="shared" si="0"/>
        <v>55.043330821061588</v>
      </c>
      <c r="E65" s="472">
        <f t="shared" si="1"/>
        <v>247.97970477135516</v>
      </c>
      <c r="F65" s="470">
        <f t="shared" si="2"/>
        <v>16474.044848462545</v>
      </c>
      <c r="G65" s="470"/>
    </row>
    <row r="66" spans="1:7" x14ac:dyDescent="0.2">
      <c r="A66" s="496">
        <f t="shared" si="4"/>
        <v>45658</v>
      </c>
      <c r="B66" s="470">
        <f t="shared" si="3"/>
        <v>16474.044848462545</v>
      </c>
      <c r="C66" s="472">
        <f>IF(ROUND(Tableau3626[[#This Row],[Solde début période]],2)&lt;=0,0,$D$2)</f>
        <v>303.02303559241676</v>
      </c>
      <c r="D66" s="472">
        <f t="shared" si="0"/>
        <v>54.227064292855879</v>
      </c>
      <c r="E66" s="472">
        <f t="shared" si="1"/>
        <v>248.79597129956088</v>
      </c>
      <c r="F66" s="470">
        <f t="shared" si="2"/>
        <v>16225.248877162983</v>
      </c>
      <c r="G66" s="470"/>
    </row>
    <row r="67" spans="1:7" x14ac:dyDescent="0.2">
      <c r="A67" s="496">
        <f t="shared" si="4"/>
        <v>45689</v>
      </c>
      <c r="B67" s="470">
        <f t="shared" si="3"/>
        <v>16225.248877162983</v>
      </c>
      <c r="C67" s="472">
        <f>IF(ROUND(Tableau3626[[#This Row],[Solde début période]],2)&lt;=0,0,$D$2)</f>
        <v>303.02303559241676</v>
      </c>
      <c r="D67" s="472">
        <f t="shared" si="0"/>
        <v>53.408110887328156</v>
      </c>
      <c r="E67" s="472">
        <f t="shared" si="1"/>
        <v>249.61492470508861</v>
      </c>
      <c r="F67" s="470">
        <f t="shared" si="2"/>
        <v>15975.633952457894</v>
      </c>
      <c r="G67" s="470"/>
    </row>
    <row r="68" spans="1:7" x14ac:dyDescent="0.2">
      <c r="A68" s="496">
        <f t="shared" si="4"/>
        <v>45717</v>
      </c>
      <c r="B68" s="470">
        <f t="shared" si="3"/>
        <v>15975.633952457894</v>
      </c>
      <c r="C68" s="472">
        <f>IF(ROUND(Tableau3626[[#This Row],[Solde début période]],2)&lt;=0,0,$D$2)</f>
        <v>303.02303559241676</v>
      </c>
      <c r="D68" s="472">
        <f t="shared" si="0"/>
        <v>52.586461760173904</v>
      </c>
      <c r="E68" s="472">
        <f t="shared" si="1"/>
        <v>250.43657383224286</v>
      </c>
      <c r="F68" s="470">
        <f t="shared" si="2"/>
        <v>15725.197378625651</v>
      </c>
      <c r="G68" s="470"/>
    </row>
    <row r="69" spans="1:7" x14ac:dyDescent="0.2">
      <c r="A69" s="496">
        <f t="shared" si="4"/>
        <v>45748</v>
      </c>
      <c r="B69" s="470">
        <f t="shared" si="3"/>
        <v>15725.197378625651</v>
      </c>
      <c r="C69" s="472">
        <f>IF(ROUND(Tableau3626[[#This Row],[Solde début période]],2)&lt;=0,0,$D$2)</f>
        <v>303.02303559241676</v>
      </c>
      <c r="D69" s="472">
        <f t="shared" si="0"/>
        <v>51.762108037976105</v>
      </c>
      <c r="E69" s="472">
        <f t="shared" si="1"/>
        <v>251.26092755444066</v>
      </c>
      <c r="F69" s="470">
        <f t="shared" si="2"/>
        <v>15473.936451071211</v>
      </c>
      <c r="G69" s="470"/>
    </row>
    <row r="70" spans="1:7" x14ac:dyDescent="0.2">
      <c r="A70" s="496">
        <f t="shared" si="4"/>
        <v>45778</v>
      </c>
      <c r="B70" s="470">
        <f t="shared" si="3"/>
        <v>15473.936451071211</v>
      </c>
      <c r="C70" s="472">
        <f>IF(ROUND(Tableau3626[[#This Row],[Solde début période]],2)&lt;=0,0,$D$2)</f>
        <v>303.02303559241676</v>
      </c>
      <c r="D70" s="472">
        <f t="shared" ref="D70:D133" si="5">B70*($B$2/12)</f>
        <v>50.935040818109407</v>
      </c>
      <c r="E70" s="472">
        <f t="shared" ref="E70:E133" si="6">C70-D70</f>
        <v>252.08799477430736</v>
      </c>
      <c r="F70" s="470">
        <f t="shared" ref="F70:F133" si="7">B70-E70</f>
        <v>15221.848456296904</v>
      </c>
      <c r="G70" s="470"/>
    </row>
    <row r="71" spans="1:7" x14ac:dyDescent="0.2">
      <c r="A71" s="496">
        <f t="shared" si="4"/>
        <v>45809</v>
      </c>
      <c r="B71" s="470">
        <f t="shared" ref="B71:B134" si="8">F70</f>
        <v>15221.848456296904</v>
      </c>
      <c r="C71" s="472">
        <f>IF(ROUND(Tableau3626[[#This Row],[Solde début période]],2)&lt;=0,0,$D$2)</f>
        <v>303.02303559241676</v>
      </c>
      <c r="D71" s="472">
        <f t="shared" si="5"/>
        <v>50.105251168643974</v>
      </c>
      <c r="E71" s="472">
        <f t="shared" si="6"/>
        <v>252.91778442377279</v>
      </c>
      <c r="F71" s="470">
        <f t="shared" si="7"/>
        <v>14968.930671873131</v>
      </c>
      <c r="G71" s="470"/>
    </row>
    <row r="72" spans="1:7" x14ac:dyDescent="0.2">
      <c r="A72" s="496">
        <f t="shared" ref="A72:A135" si="9">EDATE(A71,1)</f>
        <v>45839</v>
      </c>
      <c r="B72" s="470">
        <f t="shared" si="8"/>
        <v>14968.930671873131</v>
      </c>
      <c r="C72" s="472">
        <f>IF(ROUND(Tableau3626[[#This Row],[Solde début période]],2)&lt;=0,0,$D$2)</f>
        <v>303.02303559241676</v>
      </c>
      <c r="D72" s="472">
        <f t="shared" si="5"/>
        <v>49.272730128249059</v>
      </c>
      <c r="E72" s="472">
        <f t="shared" si="6"/>
        <v>253.7503054641677</v>
      </c>
      <c r="F72" s="470">
        <f t="shared" si="7"/>
        <v>14715.180366408964</v>
      </c>
      <c r="G72" s="470"/>
    </row>
    <row r="73" spans="1:7" x14ac:dyDescent="0.2">
      <c r="A73" s="496">
        <f t="shared" si="9"/>
        <v>45870</v>
      </c>
      <c r="B73" s="470">
        <f t="shared" si="8"/>
        <v>14715.180366408964</v>
      </c>
      <c r="C73" s="472">
        <f>IF(ROUND(Tableau3626[[#This Row],[Solde début période]],2)&lt;=0,0,$D$2)</f>
        <v>303.02303559241676</v>
      </c>
      <c r="D73" s="472">
        <f t="shared" si="5"/>
        <v>48.437468706096176</v>
      </c>
      <c r="E73" s="472">
        <f t="shared" si="6"/>
        <v>254.58556688632058</v>
      </c>
      <c r="F73" s="470">
        <f t="shared" si="7"/>
        <v>14460.594799522643</v>
      </c>
      <c r="G73" s="470"/>
    </row>
    <row r="74" spans="1:7" x14ac:dyDescent="0.2">
      <c r="A74" s="496">
        <f t="shared" si="9"/>
        <v>45901</v>
      </c>
      <c r="B74" s="470">
        <f t="shared" si="8"/>
        <v>14460.594799522643</v>
      </c>
      <c r="C74" s="472">
        <f>IF(ROUND(Tableau3626[[#This Row],[Solde début période]],2)&lt;=0,0,$D$2)</f>
        <v>303.02303559241676</v>
      </c>
      <c r="D74" s="472">
        <f t="shared" si="5"/>
        <v>47.599457881762035</v>
      </c>
      <c r="E74" s="472">
        <f t="shared" si="6"/>
        <v>255.42357771065474</v>
      </c>
      <c r="F74" s="470">
        <f t="shared" si="7"/>
        <v>14205.171221811988</v>
      </c>
      <c r="G74" s="470"/>
    </row>
    <row r="75" spans="1:7" x14ac:dyDescent="0.2">
      <c r="A75" s="496">
        <f t="shared" si="9"/>
        <v>45931</v>
      </c>
      <c r="B75" s="470">
        <f t="shared" si="8"/>
        <v>14205.171221811988</v>
      </c>
      <c r="C75" s="472">
        <f>IF(ROUND(Tableau3626[[#This Row],[Solde début période]],2)&lt;=0,0,$D$2)</f>
        <v>303.02303559241676</v>
      </c>
      <c r="D75" s="472">
        <f t="shared" si="5"/>
        <v>46.758688605131127</v>
      </c>
      <c r="E75" s="472">
        <f t="shared" si="6"/>
        <v>256.26434698728565</v>
      </c>
      <c r="F75" s="470">
        <f t="shared" si="7"/>
        <v>13948.906874824703</v>
      </c>
      <c r="G75" s="470"/>
    </row>
    <row r="76" spans="1:7" x14ac:dyDescent="0.2">
      <c r="A76" s="496">
        <f t="shared" si="9"/>
        <v>45962</v>
      </c>
      <c r="B76" s="470">
        <f t="shared" si="8"/>
        <v>13948.906874824703</v>
      </c>
      <c r="C76" s="472">
        <f>IF(ROUND(Tableau3626[[#This Row],[Solde début période]],2)&lt;=0,0,$D$2)</f>
        <v>303.02303559241676</v>
      </c>
      <c r="D76" s="472">
        <f t="shared" si="5"/>
        <v>45.915151796297984</v>
      </c>
      <c r="E76" s="472">
        <f t="shared" si="6"/>
        <v>257.10788379611876</v>
      </c>
      <c r="F76" s="470">
        <f t="shared" si="7"/>
        <v>13691.798991028583</v>
      </c>
      <c r="G76" s="470"/>
    </row>
    <row r="77" spans="1:7" x14ac:dyDescent="0.2">
      <c r="A77" s="496">
        <f t="shared" si="9"/>
        <v>45992</v>
      </c>
      <c r="B77" s="470">
        <f t="shared" si="8"/>
        <v>13691.798991028583</v>
      </c>
      <c r="C77" s="472">
        <f>IF(ROUND(Tableau3626[[#This Row],[Solde début période]],2)&lt;=0,0,$D$2)</f>
        <v>303.02303559241676</v>
      </c>
      <c r="D77" s="472">
        <f t="shared" si="5"/>
        <v>45.068838345469089</v>
      </c>
      <c r="E77" s="472">
        <f t="shared" si="6"/>
        <v>257.95419724694767</v>
      </c>
      <c r="F77" s="470">
        <f t="shared" si="7"/>
        <v>13433.844793781636</v>
      </c>
      <c r="G77" s="470"/>
    </row>
    <row r="78" spans="1:7" x14ac:dyDescent="0.2">
      <c r="A78" s="496">
        <f t="shared" si="9"/>
        <v>46023</v>
      </c>
      <c r="B78" s="470">
        <f t="shared" si="8"/>
        <v>13433.844793781636</v>
      </c>
      <c r="C78" s="472">
        <f>IF(ROUND(Tableau3626[[#This Row],[Solde début période]],2)&lt;=0,0,$D$2)</f>
        <v>303.02303559241676</v>
      </c>
      <c r="D78" s="472">
        <f t="shared" si="5"/>
        <v>44.219739112864552</v>
      </c>
      <c r="E78" s="472">
        <f t="shared" si="6"/>
        <v>258.80329647955222</v>
      </c>
      <c r="F78" s="470">
        <f t="shared" si="7"/>
        <v>13175.041497302083</v>
      </c>
      <c r="G78" s="470"/>
    </row>
    <row r="79" spans="1:7" x14ac:dyDescent="0.2">
      <c r="A79" s="496">
        <f t="shared" si="9"/>
        <v>46054</v>
      </c>
      <c r="B79" s="470">
        <f t="shared" si="8"/>
        <v>13175.041497302083</v>
      </c>
      <c r="C79" s="472">
        <f>IF(ROUND(Tableau3626[[#This Row],[Solde début période]],2)&lt;=0,0,$D$2)</f>
        <v>303.02303559241676</v>
      </c>
      <c r="D79" s="472">
        <f t="shared" si="5"/>
        <v>43.367844928619355</v>
      </c>
      <c r="E79" s="472">
        <f t="shared" si="6"/>
        <v>259.65519066379738</v>
      </c>
      <c r="F79" s="470">
        <f t="shared" si="7"/>
        <v>12915.386306638286</v>
      </c>
      <c r="G79" s="470"/>
    </row>
    <row r="80" spans="1:7" x14ac:dyDescent="0.2">
      <c r="A80" s="496">
        <f t="shared" si="9"/>
        <v>46082</v>
      </c>
      <c r="B80" s="470">
        <f t="shared" si="8"/>
        <v>12915.386306638286</v>
      </c>
      <c r="C80" s="472">
        <f>IF(ROUND(Tableau3626[[#This Row],[Solde début période]],2)&lt;=0,0,$D$2)</f>
        <v>303.02303559241676</v>
      </c>
      <c r="D80" s="472">
        <f t="shared" si="5"/>
        <v>42.513146592684357</v>
      </c>
      <c r="E80" s="472">
        <f t="shared" si="6"/>
        <v>260.50988899973242</v>
      </c>
      <c r="F80" s="470">
        <f t="shared" si="7"/>
        <v>12654.876417638554</v>
      </c>
      <c r="G80" s="470"/>
    </row>
    <row r="81" spans="1:7" x14ac:dyDescent="0.2">
      <c r="A81" s="496">
        <f t="shared" si="9"/>
        <v>46113</v>
      </c>
      <c r="B81" s="470">
        <f t="shared" si="8"/>
        <v>12654.876417638554</v>
      </c>
      <c r="C81" s="472">
        <f>IF(ROUND(Tableau3626[[#This Row],[Solde début période]],2)&lt;=0,0,$D$2)</f>
        <v>303.02303559241676</v>
      </c>
      <c r="D81" s="472">
        <f t="shared" si="5"/>
        <v>41.655634874726907</v>
      </c>
      <c r="E81" s="472">
        <f t="shared" si="6"/>
        <v>261.36740071768986</v>
      </c>
      <c r="F81" s="470">
        <f t="shared" si="7"/>
        <v>12393.509016920863</v>
      </c>
      <c r="G81" s="470"/>
    </row>
    <row r="82" spans="1:7" x14ac:dyDescent="0.2">
      <c r="A82" s="496">
        <f t="shared" si="9"/>
        <v>46143</v>
      </c>
      <c r="B82" s="470">
        <f t="shared" si="8"/>
        <v>12393.509016920863</v>
      </c>
      <c r="C82" s="472">
        <f>IF(ROUND(Tableau3626[[#This Row],[Solde début période]],2)&lt;=0,0,$D$2)</f>
        <v>303.02303559241676</v>
      </c>
      <c r="D82" s="472">
        <f t="shared" si="5"/>
        <v>40.795300514031176</v>
      </c>
      <c r="E82" s="472">
        <f t="shared" si="6"/>
        <v>262.22773507838559</v>
      </c>
      <c r="F82" s="470">
        <f t="shared" si="7"/>
        <v>12131.281281842477</v>
      </c>
      <c r="G82" s="470"/>
    </row>
    <row r="83" spans="1:7" x14ac:dyDescent="0.2">
      <c r="A83" s="496">
        <f t="shared" si="9"/>
        <v>46174</v>
      </c>
      <c r="B83" s="470">
        <f t="shared" si="8"/>
        <v>12131.281281842477</v>
      </c>
      <c r="C83" s="472">
        <f>IF(ROUND(Tableau3626[[#This Row],[Solde début période]],2)&lt;=0,0,$D$2)</f>
        <v>303.02303559241676</v>
      </c>
      <c r="D83" s="472">
        <f t="shared" si="5"/>
        <v>39.932134219398158</v>
      </c>
      <c r="E83" s="472">
        <f t="shared" si="6"/>
        <v>263.0909013730186</v>
      </c>
      <c r="F83" s="470">
        <f t="shared" si="7"/>
        <v>11868.190380469459</v>
      </c>
      <c r="G83" s="470"/>
    </row>
    <row r="84" spans="1:7" x14ac:dyDescent="0.2">
      <c r="A84" s="496">
        <f t="shared" si="9"/>
        <v>46204</v>
      </c>
      <c r="B84" s="470">
        <f t="shared" si="8"/>
        <v>11868.190380469459</v>
      </c>
      <c r="C84" s="472">
        <f>IF(ROUND(Tableau3626[[#This Row],[Solde début période]],2)&lt;=0,0,$D$2)</f>
        <v>303.02303559241676</v>
      </c>
      <c r="D84" s="472">
        <f t="shared" si="5"/>
        <v>39.066126669045303</v>
      </c>
      <c r="E84" s="472">
        <f t="shared" si="6"/>
        <v>263.95690892337143</v>
      </c>
      <c r="F84" s="470">
        <f t="shared" si="7"/>
        <v>11604.233471546087</v>
      </c>
      <c r="G84" s="470"/>
    </row>
    <row r="85" spans="1:7" x14ac:dyDescent="0.2">
      <c r="A85" s="496">
        <f t="shared" si="9"/>
        <v>46235</v>
      </c>
      <c r="B85" s="470">
        <f t="shared" si="8"/>
        <v>11604.233471546087</v>
      </c>
      <c r="C85" s="472">
        <f>IF(ROUND(Tableau3626[[#This Row],[Solde début période]],2)&lt;=0,0,$D$2)</f>
        <v>303.02303559241676</v>
      </c>
      <c r="D85" s="472">
        <f t="shared" si="5"/>
        <v>38.197268510505872</v>
      </c>
      <c r="E85" s="472">
        <f t="shared" si="6"/>
        <v>264.8257670819109</v>
      </c>
      <c r="F85" s="470">
        <f t="shared" si="7"/>
        <v>11339.407704464176</v>
      </c>
      <c r="G85" s="470"/>
    </row>
    <row r="86" spans="1:7" x14ac:dyDescent="0.2">
      <c r="A86" s="496">
        <f t="shared" si="9"/>
        <v>46266</v>
      </c>
      <c r="B86" s="470">
        <f t="shared" si="8"/>
        <v>11339.407704464176</v>
      </c>
      <c r="C86" s="472">
        <f>IF(ROUND(Tableau3626[[#This Row],[Solde début période]],2)&lt;=0,0,$D$2)</f>
        <v>303.02303559241676</v>
      </c>
      <c r="D86" s="472">
        <f t="shared" si="5"/>
        <v>37.325550360527913</v>
      </c>
      <c r="E86" s="472">
        <f t="shared" si="6"/>
        <v>265.69748523188883</v>
      </c>
      <c r="F86" s="470">
        <f t="shared" si="7"/>
        <v>11073.710219232287</v>
      </c>
      <c r="G86" s="470"/>
    </row>
    <row r="87" spans="1:7" x14ac:dyDescent="0.2">
      <c r="A87" s="496">
        <f t="shared" si="9"/>
        <v>46296</v>
      </c>
      <c r="B87" s="470">
        <f t="shared" si="8"/>
        <v>11073.710219232287</v>
      </c>
      <c r="C87" s="472">
        <f>IF(ROUND(Tableau3626[[#This Row],[Solde début période]],2)&lt;=0,0,$D$2)</f>
        <v>303.02303559241676</v>
      </c>
      <c r="D87" s="472">
        <f t="shared" si="5"/>
        <v>36.450962804972946</v>
      </c>
      <c r="E87" s="472">
        <f t="shared" si="6"/>
        <v>266.5720727874438</v>
      </c>
      <c r="F87" s="470">
        <f t="shared" si="7"/>
        <v>10807.138146444844</v>
      </c>
      <c r="G87" s="470"/>
    </row>
    <row r="88" spans="1:7" x14ac:dyDescent="0.2">
      <c r="A88" s="496">
        <f t="shared" si="9"/>
        <v>46327</v>
      </c>
      <c r="B88" s="470">
        <f t="shared" si="8"/>
        <v>10807.138146444844</v>
      </c>
      <c r="C88" s="472">
        <f>IF(ROUND(Tableau3626[[#This Row],[Solde début période]],2)&lt;=0,0,$D$2)</f>
        <v>303.02303559241676</v>
      </c>
      <c r="D88" s="472">
        <f t="shared" si="5"/>
        <v>35.573496398714276</v>
      </c>
      <c r="E88" s="472">
        <f t="shared" si="6"/>
        <v>267.44953919370249</v>
      </c>
      <c r="F88" s="470">
        <f t="shared" si="7"/>
        <v>10539.688607251142</v>
      </c>
      <c r="G88" s="470"/>
    </row>
    <row r="89" spans="1:7" x14ac:dyDescent="0.2">
      <c r="A89" s="496">
        <f t="shared" si="9"/>
        <v>46357</v>
      </c>
      <c r="B89" s="470">
        <f t="shared" si="8"/>
        <v>10539.688607251142</v>
      </c>
      <c r="C89" s="472">
        <f>IF(ROUND(Tableau3626[[#This Row],[Solde début période]],2)&lt;=0,0,$D$2)</f>
        <v>303.02303559241676</v>
      </c>
      <c r="D89" s="472">
        <f t="shared" si="5"/>
        <v>34.693141665535009</v>
      </c>
      <c r="E89" s="472">
        <f t="shared" si="6"/>
        <v>268.32989392688177</v>
      </c>
      <c r="F89" s="470">
        <f t="shared" si="7"/>
        <v>10271.35871332426</v>
      </c>
      <c r="G89" s="470"/>
    </row>
    <row r="90" spans="1:7" x14ac:dyDescent="0.2">
      <c r="A90" s="496">
        <f t="shared" si="9"/>
        <v>46388</v>
      </c>
      <c r="B90" s="470">
        <f t="shared" si="8"/>
        <v>10271.35871332426</v>
      </c>
      <c r="C90" s="472">
        <f>IF(ROUND(Tableau3626[[#This Row],[Solde début période]],2)&lt;=0,0,$D$2)</f>
        <v>303.02303559241676</v>
      </c>
      <c r="D90" s="472">
        <f t="shared" si="5"/>
        <v>33.809889098025693</v>
      </c>
      <c r="E90" s="472">
        <f t="shared" si="6"/>
        <v>269.21314649439108</v>
      </c>
      <c r="F90" s="470">
        <f t="shared" si="7"/>
        <v>10002.145566829869</v>
      </c>
      <c r="G90" s="470"/>
    </row>
    <row r="91" spans="1:7" x14ac:dyDescent="0.2">
      <c r="A91" s="496">
        <f t="shared" si="9"/>
        <v>46419</v>
      </c>
      <c r="B91" s="470">
        <f t="shared" si="8"/>
        <v>10002.145566829869</v>
      </c>
      <c r="C91" s="472">
        <f>IF(ROUND(Tableau3626[[#This Row],[Solde début période]],2)&lt;=0,0,$D$2)</f>
        <v>303.02303559241676</v>
      </c>
      <c r="D91" s="472">
        <f t="shared" si="5"/>
        <v>32.923729157481652</v>
      </c>
      <c r="E91" s="472">
        <f t="shared" si="6"/>
        <v>270.0993064349351</v>
      </c>
      <c r="F91" s="470">
        <f t="shared" si="7"/>
        <v>9732.0462603949345</v>
      </c>
      <c r="G91" s="470"/>
    </row>
    <row r="92" spans="1:7" x14ac:dyDescent="0.2">
      <c r="A92" s="496">
        <f t="shared" si="9"/>
        <v>46447</v>
      </c>
      <c r="B92" s="470">
        <f t="shared" si="8"/>
        <v>9732.0462603949345</v>
      </c>
      <c r="C92" s="472">
        <f>IF(ROUND(Tableau3626[[#This Row],[Solde début période]],2)&lt;=0,0,$D$2)</f>
        <v>303.02303559241676</v>
      </c>
      <c r="D92" s="472">
        <f t="shared" si="5"/>
        <v>32.034652273799992</v>
      </c>
      <c r="E92" s="472">
        <f t="shared" si="6"/>
        <v>270.9883833186168</v>
      </c>
      <c r="F92" s="470">
        <f t="shared" si="7"/>
        <v>9461.0578770763168</v>
      </c>
      <c r="G92" s="470"/>
    </row>
    <row r="93" spans="1:7" x14ac:dyDescent="0.2">
      <c r="A93" s="496">
        <f t="shared" si="9"/>
        <v>46478</v>
      </c>
      <c r="B93" s="470">
        <f t="shared" si="8"/>
        <v>9461.0578770763168</v>
      </c>
      <c r="C93" s="472">
        <f>IF(ROUND(Tableau3626[[#This Row],[Solde début période]],2)&lt;=0,0,$D$2)</f>
        <v>303.02303559241676</v>
      </c>
      <c r="D93" s="472">
        <f t="shared" si="5"/>
        <v>31.142648845376211</v>
      </c>
      <c r="E93" s="472">
        <f t="shared" si="6"/>
        <v>271.88038674704057</v>
      </c>
      <c r="F93" s="470">
        <f t="shared" si="7"/>
        <v>9189.1774903292753</v>
      </c>
      <c r="G93" s="470"/>
    </row>
    <row r="94" spans="1:7" x14ac:dyDescent="0.2">
      <c r="A94" s="496">
        <f t="shared" si="9"/>
        <v>46508</v>
      </c>
      <c r="B94" s="470">
        <f t="shared" si="8"/>
        <v>9189.1774903292753</v>
      </c>
      <c r="C94" s="472">
        <f>IF(ROUND(Tableau3626[[#This Row],[Solde début période]],2)&lt;=0,0,$D$2)</f>
        <v>303.02303559241676</v>
      </c>
      <c r="D94" s="472">
        <f t="shared" si="5"/>
        <v>30.247709239000532</v>
      </c>
      <c r="E94" s="472">
        <f t="shared" si="6"/>
        <v>272.77532635341623</v>
      </c>
      <c r="F94" s="470">
        <f t="shared" si="7"/>
        <v>8916.4021639758594</v>
      </c>
      <c r="G94" s="470"/>
    </row>
    <row r="95" spans="1:7" x14ac:dyDescent="0.2">
      <c r="A95" s="496">
        <f t="shared" si="9"/>
        <v>46539</v>
      </c>
      <c r="B95" s="470">
        <f t="shared" si="8"/>
        <v>8916.4021639758594</v>
      </c>
      <c r="C95" s="472">
        <f>IF(ROUND(Tableau3626[[#This Row],[Solde début période]],2)&lt;=0,0,$D$2)</f>
        <v>303.02303559241676</v>
      </c>
      <c r="D95" s="472">
        <f t="shared" si="5"/>
        <v>29.34982378975387</v>
      </c>
      <c r="E95" s="472">
        <f t="shared" si="6"/>
        <v>273.67321180266288</v>
      </c>
      <c r="F95" s="470">
        <f t="shared" si="7"/>
        <v>8642.7289521731964</v>
      </c>
      <c r="G95" s="470"/>
    </row>
    <row r="96" spans="1:7" x14ac:dyDescent="0.2">
      <c r="A96" s="496">
        <f t="shared" si="9"/>
        <v>46569</v>
      </c>
      <c r="B96" s="470">
        <f t="shared" si="8"/>
        <v>8642.7289521731964</v>
      </c>
      <c r="C96" s="472">
        <f>IF(ROUND(Tableau3626[[#This Row],[Solde début période]],2)&lt;=0,0,$D$2)</f>
        <v>303.02303559241676</v>
      </c>
      <c r="D96" s="472">
        <f t="shared" si="5"/>
        <v>28.448982800903437</v>
      </c>
      <c r="E96" s="472">
        <f t="shared" si="6"/>
        <v>274.57405279151334</v>
      </c>
      <c r="F96" s="470">
        <f t="shared" si="7"/>
        <v>8368.1548993816832</v>
      </c>
      <c r="G96" s="470"/>
    </row>
    <row r="97" spans="1:7" x14ac:dyDescent="0.2">
      <c r="A97" s="496">
        <f t="shared" si="9"/>
        <v>46600</v>
      </c>
      <c r="B97" s="470">
        <f t="shared" si="8"/>
        <v>8368.1548993816832</v>
      </c>
      <c r="C97" s="472">
        <f>IF(ROUND(Tableau3626[[#This Row],[Solde début période]],2)&lt;=0,0,$D$2)</f>
        <v>303.02303559241676</v>
      </c>
      <c r="D97" s="472">
        <f t="shared" si="5"/>
        <v>27.545176543798039</v>
      </c>
      <c r="E97" s="472">
        <f t="shared" si="6"/>
        <v>275.47785904861871</v>
      </c>
      <c r="F97" s="470">
        <f t="shared" si="7"/>
        <v>8092.6770403330647</v>
      </c>
      <c r="G97" s="470"/>
    </row>
    <row r="98" spans="1:7" x14ac:dyDescent="0.2">
      <c r="A98" s="496">
        <f t="shared" si="9"/>
        <v>46631</v>
      </c>
      <c r="B98" s="470">
        <f t="shared" si="8"/>
        <v>8092.6770403330647</v>
      </c>
      <c r="C98" s="472">
        <f>IF(ROUND(Tableau3626[[#This Row],[Solde début période]],2)&lt;=0,0,$D$2)</f>
        <v>303.02303559241676</v>
      </c>
      <c r="D98" s="472">
        <f t="shared" si="5"/>
        <v>26.638395257763005</v>
      </c>
      <c r="E98" s="472">
        <f t="shared" si="6"/>
        <v>276.38464033465374</v>
      </c>
      <c r="F98" s="470">
        <f t="shared" si="7"/>
        <v>7816.2923999984114</v>
      </c>
      <c r="G98" s="470"/>
    </row>
    <row r="99" spans="1:7" x14ac:dyDescent="0.2">
      <c r="A99" s="496">
        <f t="shared" si="9"/>
        <v>46661</v>
      </c>
      <c r="B99" s="470">
        <f t="shared" si="8"/>
        <v>7816.2923999984114</v>
      </c>
      <c r="C99" s="472">
        <f>IF(ROUND(Tableau3626[[#This Row],[Solde début période]],2)&lt;=0,0,$D$2)</f>
        <v>303.02303559241676</v>
      </c>
      <c r="D99" s="472">
        <f t="shared" si="5"/>
        <v>25.72862914999477</v>
      </c>
      <c r="E99" s="472">
        <f t="shared" si="6"/>
        <v>277.29440644242197</v>
      </c>
      <c r="F99" s="470">
        <f t="shared" si="7"/>
        <v>7538.9979935559895</v>
      </c>
      <c r="G99" s="470"/>
    </row>
    <row r="100" spans="1:7" x14ac:dyDescent="0.2">
      <c r="A100" s="496">
        <f t="shared" si="9"/>
        <v>46692</v>
      </c>
      <c r="B100" s="470">
        <f t="shared" si="8"/>
        <v>7538.9979935559895</v>
      </c>
      <c r="C100" s="472">
        <f>IF(ROUND(Tableau3626[[#This Row],[Solde début période]],2)&lt;=0,0,$D$2)</f>
        <v>303.02303559241676</v>
      </c>
      <c r="D100" s="472">
        <f t="shared" si="5"/>
        <v>24.815868395455134</v>
      </c>
      <c r="E100" s="472">
        <f t="shared" si="6"/>
        <v>278.20716719696162</v>
      </c>
      <c r="F100" s="470">
        <f t="shared" si="7"/>
        <v>7260.790826359028</v>
      </c>
      <c r="G100" s="470"/>
    </row>
    <row r="101" spans="1:7" x14ac:dyDescent="0.2">
      <c r="A101" s="496">
        <f t="shared" si="9"/>
        <v>46722</v>
      </c>
      <c r="B101" s="470">
        <f t="shared" si="8"/>
        <v>7260.790826359028</v>
      </c>
      <c r="C101" s="472">
        <f>IF(ROUND(Tableau3626[[#This Row],[Solde début période]],2)&lt;=0,0,$D$2)</f>
        <v>303.02303559241676</v>
      </c>
      <c r="D101" s="472">
        <f t="shared" si="5"/>
        <v>23.900103136765132</v>
      </c>
      <c r="E101" s="472">
        <f t="shared" si="6"/>
        <v>279.12293245565161</v>
      </c>
      <c r="F101" s="470">
        <f t="shared" si="7"/>
        <v>6981.6678939033764</v>
      </c>
      <c r="G101" s="470"/>
    </row>
    <row r="102" spans="1:7" x14ac:dyDescent="0.2">
      <c r="A102" s="496">
        <f t="shared" si="9"/>
        <v>46753</v>
      </c>
      <c r="B102" s="470">
        <f t="shared" si="8"/>
        <v>6981.6678939033764</v>
      </c>
      <c r="C102" s="472">
        <f>IF(ROUND(Tableau3626[[#This Row],[Solde début période]],2)&lt;=0,0,$D$2)</f>
        <v>303.02303559241676</v>
      </c>
      <c r="D102" s="472">
        <f t="shared" si="5"/>
        <v>22.981323484098613</v>
      </c>
      <c r="E102" s="472">
        <f t="shared" si="6"/>
        <v>280.04171210831817</v>
      </c>
      <c r="F102" s="470">
        <f t="shared" si="7"/>
        <v>6701.6261817950581</v>
      </c>
      <c r="G102" s="470"/>
    </row>
    <row r="103" spans="1:7" x14ac:dyDescent="0.2">
      <c r="A103" s="496">
        <f t="shared" si="9"/>
        <v>46784</v>
      </c>
      <c r="B103" s="470">
        <f t="shared" si="8"/>
        <v>6701.6261817950581</v>
      </c>
      <c r="C103" s="472">
        <f>IF(ROUND(Tableau3626[[#This Row],[Solde début période]],2)&lt;=0,0,$D$2)</f>
        <v>303.02303559241676</v>
      </c>
      <c r="D103" s="472">
        <f t="shared" si="5"/>
        <v>22.059519515075401</v>
      </c>
      <c r="E103" s="472">
        <f t="shared" si="6"/>
        <v>280.96351607734135</v>
      </c>
      <c r="F103" s="470">
        <f t="shared" si="7"/>
        <v>6420.6626657177167</v>
      </c>
      <c r="G103" s="470"/>
    </row>
    <row r="104" spans="1:7" x14ac:dyDescent="0.2">
      <c r="A104" s="496">
        <f t="shared" si="9"/>
        <v>46813</v>
      </c>
      <c r="B104" s="470">
        <f t="shared" si="8"/>
        <v>6420.6626657177167</v>
      </c>
      <c r="C104" s="472">
        <f>IF(ROUND(Tableau3626[[#This Row],[Solde début période]],2)&lt;=0,0,$D$2)</f>
        <v>303.02303559241676</v>
      </c>
      <c r="D104" s="472">
        <f t="shared" si="5"/>
        <v>21.134681274654152</v>
      </c>
      <c r="E104" s="472">
        <f t="shared" si="6"/>
        <v>281.88835431776261</v>
      </c>
      <c r="F104" s="470">
        <f t="shared" si="7"/>
        <v>6138.7743113999541</v>
      </c>
      <c r="G104" s="470"/>
    </row>
    <row r="105" spans="1:7" x14ac:dyDescent="0.2">
      <c r="A105" s="496">
        <f t="shared" si="9"/>
        <v>46844</v>
      </c>
      <c r="B105" s="470">
        <f t="shared" si="8"/>
        <v>6138.7743113999541</v>
      </c>
      <c r="C105" s="472">
        <f>IF(ROUND(Tableau3626[[#This Row],[Solde début période]],2)&lt;=0,0,$D$2)</f>
        <v>303.02303559241676</v>
      </c>
      <c r="D105" s="472">
        <f t="shared" si="5"/>
        <v>20.206798775024851</v>
      </c>
      <c r="E105" s="472">
        <f t="shared" si="6"/>
        <v>282.81623681739188</v>
      </c>
      <c r="F105" s="470">
        <f t="shared" si="7"/>
        <v>5855.9580745825624</v>
      </c>
      <c r="G105" s="470"/>
    </row>
    <row r="106" spans="1:7" x14ac:dyDescent="0.2">
      <c r="A106" s="496">
        <f t="shared" si="9"/>
        <v>46874</v>
      </c>
      <c r="B106" s="470">
        <f t="shared" si="8"/>
        <v>5855.9580745825624</v>
      </c>
      <c r="C106" s="472">
        <f>IF(ROUND(Tableau3626[[#This Row],[Solde début période]],2)&lt;=0,0,$D$2)</f>
        <v>303.02303559241676</v>
      </c>
      <c r="D106" s="472">
        <f t="shared" si="5"/>
        <v>19.275861995500936</v>
      </c>
      <c r="E106" s="472">
        <f t="shared" si="6"/>
        <v>283.74717359691584</v>
      </c>
      <c r="F106" s="470">
        <f t="shared" si="7"/>
        <v>5572.2109009856467</v>
      </c>
      <c r="G106" s="470"/>
    </row>
    <row r="107" spans="1:7" x14ac:dyDescent="0.2">
      <c r="A107" s="496">
        <f t="shared" si="9"/>
        <v>46905</v>
      </c>
      <c r="B107" s="470">
        <f t="shared" si="8"/>
        <v>5572.2109009856467</v>
      </c>
      <c r="C107" s="472">
        <f>IF(ROUND(Tableau3626[[#This Row],[Solde début période]],2)&lt;=0,0,$D$2)</f>
        <v>303.02303559241676</v>
      </c>
      <c r="D107" s="472">
        <f t="shared" si="5"/>
        <v>18.341860882411087</v>
      </c>
      <c r="E107" s="472">
        <f t="shared" si="6"/>
        <v>284.68117471000568</v>
      </c>
      <c r="F107" s="470">
        <f t="shared" si="7"/>
        <v>5287.5297262756412</v>
      </c>
      <c r="G107" s="470"/>
    </row>
    <row r="108" spans="1:7" x14ac:dyDescent="0.2">
      <c r="A108" s="496">
        <f t="shared" si="9"/>
        <v>46935</v>
      </c>
      <c r="B108" s="470">
        <f t="shared" si="8"/>
        <v>5287.5297262756412</v>
      </c>
      <c r="C108" s="472">
        <f>IF(ROUND(Tableau3626[[#This Row],[Solde début période]],2)&lt;=0,0,$D$2)</f>
        <v>303.02303559241676</v>
      </c>
      <c r="D108" s="472">
        <f t="shared" si="5"/>
        <v>17.404785348990654</v>
      </c>
      <c r="E108" s="472">
        <f t="shared" si="6"/>
        <v>285.61825024342613</v>
      </c>
      <c r="F108" s="470">
        <f t="shared" si="7"/>
        <v>5001.9114760322154</v>
      </c>
      <c r="G108" s="470"/>
    </row>
    <row r="109" spans="1:7" x14ac:dyDescent="0.2">
      <c r="A109" s="496">
        <f t="shared" si="9"/>
        <v>46966</v>
      </c>
      <c r="B109" s="470">
        <f t="shared" si="8"/>
        <v>5001.9114760322154</v>
      </c>
      <c r="C109" s="472">
        <f>IF(ROUND(Tableau3626[[#This Row],[Solde début période]],2)&lt;=0,0,$D$2)</f>
        <v>303.02303559241676</v>
      </c>
      <c r="D109" s="472">
        <f t="shared" si="5"/>
        <v>16.464625275272709</v>
      </c>
      <c r="E109" s="472">
        <f t="shared" si="6"/>
        <v>286.55841031714408</v>
      </c>
      <c r="F109" s="470">
        <f t="shared" si="7"/>
        <v>4715.3530657150714</v>
      </c>
      <c r="G109" s="470"/>
    </row>
    <row r="110" spans="1:7" x14ac:dyDescent="0.2">
      <c r="A110" s="496">
        <f t="shared" si="9"/>
        <v>46997</v>
      </c>
      <c r="B110" s="470">
        <f t="shared" si="8"/>
        <v>4715.3530657150714</v>
      </c>
      <c r="C110" s="472">
        <f>IF(ROUND(Tableau3626[[#This Row],[Solde début période]],2)&lt;=0,0,$D$2)</f>
        <v>303.02303559241676</v>
      </c>
      <c r="D110" s="472">
        <f t="shared" si="5"/>
        <v>15.521370507978776</v>
      </c>
      <c r="E110" s="472">
        <f t="shared" si="6"/>
        <v>287.501665084438</v>
      </c>
      <c r="F110" s="470">
        <f t="shared" si="7"/>
        <v>4427.8514006306332</v>
      </c>
      <c r="G110" s="470"/>
    </row>
    <row r="111" spans="1:7" x14ac:dyDescent="0.2">
      <c r="A111" s="496">
        <f t="shared" si="9"/>
        <v>47027</v>
      </c>
      <c r="B111" s="470">
        <f t="shared" si="8"/>
        <v>4427.8514006306332</v>
      </c>
      <c r="C111" s="472">
        <f>IF(ROUND(Tableau3626[[#This Row],[Solde début période]],2)&lt;=0,0,$D$2)</f>
        <v>303.02303559241676</v>
      </c>
      <c r="D111" s="472">
        <f t="shared" si="5"/>
        <v>14.575010860409167</v>
      </c>
      <c r="E111" s="472">
        <f t="shared" si="6"/>
        <v>288.44802473200758</v>
      </c>
      <c r="F111" s="470">
        <f t="shared" si="7"/>
        <v>4139.4033758986252</v>
      </c>
      <c r="G111" s="470"/>
    </row>
    <row r="112" spans="1:7" x14ac:dyDescent="0.2">
      <c r="A112" s="496">
        <f t="shared" si="9"/>
        <v>47058</v>
      </c>
      <c r="B112" s="470">
        <f t="shared" si="8"/>
        <v>4139.4033758986252</v>
      </c>
      <c r="C112" s="472">
        <f>IF(ROUND(Tableau3626[[#This Row],[Solde début période]],2)&lt;=0,0,$D$2)</f>
        <v>303.02303559241676</v>
      </c>
      <c r="D112" s="472">
        <f t="shared" si="5"/>
        <v>13.625536112332975</v>
      </c>
      <c r="E112" s="472">
        <f t="shared" si="6"/>
        <v>289.39749948008381</v>
      </c>
      <c r="F112" s="470">
        <f t="shared" si="7"/>
        <v>3850.0058764185414</v>
      </c>
      <c r="G112" s="470"/>
    </row>
    <row r="113" spans="1:7" x14ac:dyDescent="0.2">
      <c r="A113" s="496">
        <f t="shared" si="9"/>
        <v>47088</v>
      </c>
      <c r="B113" s="470">
        <f t="shared" si="8"/>
        <v>3850.0058764185414</v>
      </c>
      <c r="C113" s="472">
        <f>IF(ROUND(Tableau3626[[#This Row],[Solde début période]],2)&lt;=0,0,$D$2)</f>
        <v>303.02303559241676</v>
      </c>
      <c r="D113" s="472">
        <f t="shared" si="5"/>
        <v>12.672936009877699</v>
      </c>
      <c r="E113" s="472">
        <f t="shared" si="6"/>
        <v>290.35009958253909</v>
      </c>
      <c r="F113" s="470">
        <f t="shared" si="7"/>
        <v>3559.6557768360026</v>
      </c>
      <c r="G113" s="470"/>
    </row>
    <row r="114" spans="1:7" x14ac:dyDescent="0.2">
      <c r="A114" s="496">
        <f t="shared" si="9"/>
        <v>47119</v>
      </c>
      <c r="B114" s="470">
        <f t="shared" si="8"/>
        <v>3559.6557768360026</v>
      </c>
      <c r="C114" s="472">
        <f>IF(ROUND(Tableau3626[[#This Row],[Solde début période]],2)&lt;=0,0,$D$2)</f>
        <v>303.02303559241676</v>
      </c>
      <c r="D114" s="472">
        <f t="shared" si="5"/>
        <v>11.717200265418509</v>
      </c>
      <c r="E114" s="472">
        <f t="shared" si="6"/>
        <v>291.30583532699825</v>
      </c>
      <c r="F114" s="470">
        <f t="shared" si="7"/>
        <v>3268.3499415090046</v>
      </c>
      <c r="G114" s="470"/>
    </row>
    <row r="115" spans="1:7" x14ac:dyDescent="0.2">
      <c r="A115" s="496">
        <f t="shared" si="9"/>
        <v>47150</v>
      </c>
      <c r="B115" s="470">
        <f t="shared" si="8"/>
        <v>3268.3499415090046</v>
      </c>
      <c r="C115" s="472">
        <f>IF(ROUND(Tableau3626[[#This Row],[Solde début période]],2)&lt;=0,0,$D$2)</f>
        <v>303.02303559241676</v>
      </c>
      <c r="D115" s="472">
        <f t="shared" si="5"/>
        <v>10.75831855746714</v>
      </c>
      <c r="E115" s="472">
        <f t="shared" si="6"/>
        <v>292.26471703494963</v>
      </c>
      <c r="F115" s="470">
        <f t="shared" si="7"/>
        <v>2976.0852244740549</v>
      </c>
      <c r="G115" s="470"/>
    </row>
    <row r="116" spans="1:7" x14ac:dyDescent="0.2">
      <c r="A116" s="496">
        <f t="shared" si="9"/>
        <v>47178</v>
      </c>
      <c r="B116" s="470">
        <f t="shared" si="8"/>
        <v>2976.0852244740549</v>
      </c>
      <c r="C116" s="472">
        <f>IF(ROUND(Tableau3626[[#This Row],[Solde début période]],2)&lt;=0,0,$D$2)</f>
        <v>303.02303559241676</v>
      </c>
      <c r="D116" s="472">
        <f t="shared" si="5"/>
        <v>9.7962805305604306</v>
      </c>
      <c r="E116" s="472">
        <f t="shared" si="6"/>
        <v>293.22675506185635</v>
      </c>
      <c r="F116" s="470">
        <f t="shared" si="7"/>
        <v>2682.8584694121987</v>
      </c>
      <c r="G116" s="470"/>
    </row>
    <row r="117" spans="1:7" x14ac:dyDescent="0.2">
      <c r="A117" s="496">
        <f t="shared" si="9"/>
        <v>47209</v>
      </c>
      <c r="B117" s="470">
        <f t="shared" si="8"/>
        <v>2682.8584694121987</v>
      </c>
      <c r="C117" s="472">
        <f>IF(ROUND(Tableau3626[[#This Row],[Solde début période]],2)&lt;=0,0,$D$2)</f>
        <v>303.02303559241676</v>
      </c>
      <c r="D117" s="472">
        <f t="shared" si="5"/>
        <v>8.8310757951484877</v>
      </c>
      <c r="E117" s="472">
        <f t="shared" si="6"/>
        <v>294.19195979726828</v>
      </c>
      <c r="F117" s="470">
        <f t="shared" si="7"/>
        <v>2388.6665096149304</v>
      </c>
      <c r="G117" s="470"/>
    </row>
    <row r="118" spans="1:7" x14ac:dyDescent="0.2">
      <c r="A118" s="496">
        <f t="shared" si="9"/>
        <v>47239</v>
      </c>
      <c r="B118" s="470">
        <f t="shared" si="8"/>
        <v>2388.6665096149304</v>
      </c>
      <c r="C118" s="472">
        <f>IF(ROUND(Tableau3626[[#This Row],[Solde début période]],2)&lt;=0,0,$D$2)</f>
        <v>303.02303559241676</v>
      </c>
      <c r="D118" s="472">
        <f t="shared" si="5"/>
        <v>7.8626939274824794</v>
      </c>
      <c r="E118" s="472">
        <f t="shared" si="6"/>
        <v>295.16034166493426</v>
      </c>
      <c r="F118" s="470">
        <f t="shared" si="7"/>
        <v>2093.5061679499963</v>
      </c>
      <c r="G118" s="470"/>
    </row>
    <row r="119" spans="1:7" x14ac:dyDescent="0.2">
      <c r="A119" s="496">
        <f t="shared" si="9"/>
        <v>47270</v>
      </c>
      <c r="B119" s="470">
        <f t="shared" si="8"/>
        <v>2093.5061679499963</v>
      </c>
      <c r="C119" s="472">
        <f>IF(ROUND(Tableau3626[[#This Row],[Solde début période]],2)&lt;=0,0,$D$2)</f>
        <v>303.02303559241676</v>
      </c>
      <c r="D119" s="472">
        <f t="shared" si="5"/>
        <v>6.8911244695020715</v>
      </c>
      <c r="E119" s="472">
        <f t="shared" si="6"/>
        <v>296.13191112291469</v>
      </c>
      <c r="F119" s="470">
        <f t="shared" si="7"/>
        <v>1797.3742568270816</v>
      </c>
      <c r="G119" s="470"/>
    </row>
    <row r="120" spans="1:7" x14ac:dyDescent="0.2">
      <c r="A120" s="496">
        <f t="shared" si="9"/>
        <v>47300</v>
      </c>
      <c r="B120" s="470">
        <f t="shared" si="8"/>
        <v>1797.3742568270816</v>
      </c>
      <c r="C120" s="472">
        <f>IF(ROUND(Tableau3626[[#This Row],[Solde début période]],2)&lt;=0,0,$D$2)</f>
        <v>303.02303559241676</v>
      </c>
      <c r="D120" s="472">
        <f t="shared" si="5"/>
        <v>5.9163569287224771</v>
      </c>
      <c r="E120" s="472">
        <f t="shared" si="6"/>
        <v>297.10667866369431</v>
      </c>
      <c r="F120" s="470">
        <f t="shared" si="7"/>
        <v>1500.2675781633873</v>
      </c>
      <c r="G120" s="470"/>
    </row>
    <row r="121" spans="1:7" x14ac:dyDescent="0.2">
      <c r="A121" s="496">
        <f t="shared" si="9"/>
        <v>47331</v>
      </c>
      <c r="B121" s="470">
        <f t="shared" si="8"/>
        <v>1500.2675781633873</v>
      </c>
      <c r="C121" s="472">
        <f>IF(ROUND(Tableau3626[[#This Row],[Solde début période]],2)&lt;=0,0,$D$2)</f>
        <v>303.02303559241676</v>
      </c>
      <c r="D121" s="472">
        <f t="shared" si="5"/>
        <v>4.9383807781211502</v>
      </c>
      <c r="E121" s="472">
        <f t="shared" si="6"/>
        <v>298.08465481429562</v>
      </c>
      <c r="F121" s="470">
        <f t="shared" si="7"/>
        <v>1202.1829233490917</v>
      </c>
      <c r="G121" s="470"/>
    </row>
    <row r="122" spans="1:7" x14ac:dyDescent="0.2">
      <c r="A122" s="496">
        <f t="shared" si="9"/>
        <v>47362</v>
      </c>
      <c r="B122" s="470">
        <f t="shared" si="8"/>
        <v>1202.1829233490917</v>
      </c>
      <c r="C122" s="472">
        <f>IF(ROUND(Tableau3626[[#This Row],[Solde début période]],2)&lt;=0,0,$D$2)</f>
        <v>303.02303559241676</v>
      </c>
      <c r="D122" s="472">
        <f t="shared" si="5"/>
        <v>3.9571854560240936</v>
      </c>
      <c r="E122" s="472">
        <f t="shared" si="6"/>
        <v>299.06585013639267</v>
      </c>
      <c r="F122" s="470">
        <f t="shared" si="7"/>
        <v>903.11707321269898</v>
      </c>
      <c r="G122" s="470"/>
    </row>
    <row r="123" spans="1:7" x14ac:dyDescent="0.2">
      <c r="A123" s="496">
        <f t="shared" si="9"/>
        <v>47392</v>
      </c>
      <c r="B123" s="470">
        <f t="shared" si="8"/>
        <v>903.11707321269898</v>
      </c>
      <c r="C123" s="472">
        <f>IF(ROUND(Tableau3626[[#This Row],[Solde début période]],2)&lt;=0,0,$D$2)</f>
        <v>303.02303559241676</v>
      </c>
      <c r="D123" s="472">
        <f t="shared" si="5"/>
        <v>2.9727603659918009</v>
      </c>
      <c r="E123" s="472">
        <f t="shared" si="6"/>
        <v>300.05027522642496</v>
      </c>
      <c r="F123" s="470">
        <f t="shared" si="7"/>
        <v>603.06679798627397</v>
      </c>
      <c r="G123" s="470"/>
    </row>
    <row r="124" spans="1:7" x14ac:dyDescent="0.2">
      <c r="A124" s="496">
        <f t="shared" si="9"/>
        <v>47423</v>
      </c>
      <c r="B124" s="470">
        <f t="shared" si="8"/>
        <v>603.06679798627397</v>
      </c>
      <c r="C124" s="472">
        <f>IF(ROUND(Tableau3626[[#This Row],[Solde début période]],2)&lt;=0,0,$D$2)</f>
        <v>303.02303559241676</v>
      </c>
      <c r="D124" s="472">
        <f t="shared" si="5"/>
        <v>1.9850948767048184</v>
      </c>
      <c r="E124" s="472">
        <f t="shared" si="6"/>
        <v>301.03794071571195</v>
      </c>
      <c r="F124" s="470">
        <f t="shared" si="7"/>
        <v>302.02885727056201</v>
      </c>
      <c r="G124" s="470"/>
    </row>
    <row r="125" spans="1:7" x14ac:dyDescent="0.2">
      <c r="A125" s="496">
        <f t="shared" si="9"/>
        <v>47453</v>
      </c>
      <c r="B125" s="470">
        <f t="shared" si="8"/>
        <v>302.02885727056201</v>
      </c>
      <c r="C125" s="472">
        <f>IF(ROUND(Tableau3626[[#This Row],[Solde début période]],2)&lt;=0,0,$D$2)</f>
        <v>303.02303559241676</v>
      </c>
      <c r="D125" s="472">
        <f t="shared" si="5"/>
        <v>0.99417832184893329</v>
      </c>
      <c r="E125" s="472">
        <f t="shared" si="6"/>
        <v>302.02885727056781</v>
      </c>
      <c r="F125" s="470">
        <f t="shared" si="7"/>
        <v>-5.7980287238024175E-12</v>
      </c>
      <c r="G125" s="470"/>
    </row>
    <row r="126" spans="1:7" x14ac:dyDescent="0.2">
      <c r="A126" s="496">
        <f t="shared" si="9"/>
        <v>47484</v>
      </c>
      <c r="B126" s="470">
        <f t="shared" si="8"/>
        <v>-5.7980287238024175E-12</v>
      </c>
      <c r="C126" s="472">
        <f>IF(ROUND(Tableau3626[[#This Row],[Solde début période]],2)&lt;=0,0,$D$2)</f>
        <v>0</v>
      </c>
      <c r="D126" s="472">
        <f t="shared" si="5"/>
        <v>-1.9085177882516291E-14</v>
      </c>
      <c r="E126" s="472">
        <f t="shared" si="6"/>
        <v>1.9085177882516291E-14</v>
      </c>
      <c r="F126" s="470">
        <f t="shared" si="7"/>
        <v>-5.8171139016849341E-12</v>
      </c>
    </row>
    <row r="127" spans="1:7" x14ac:dyDescent="0.2">
      <c r="A127" s="496">
        <f t="shared" si="9"/>
        <v>47515</v>
      </c>
      <c r="B127" s="470">
        <f t="shared" si="8"/>
        <v>-5.8171139016849341E-12</v>
      </c>
      <c r="C127" s="472">
        <f>IF(ROUND(Tableau3626[[#This Row],[Solde début période]],2)&lt;=0,0,$D$2)</f>
        <v>0</v>
      </c>
      <c r="D127" s="472">
        <f t="shared" si="5"/>
        <v>-1.9147999926379574E-14</v>
      </c>
      <c r="E127" s="472">
        <f t="shared" si="6"/>
        <v>1.9147999926379574E-14</v>
      </c>
      <c r="F127" s="470">
        <f t="shared" si="7"/>
        <v>-5.8362619016113138E-12</v>
      </c>
    </row>
    <row r="128" spans="1:7" x14ac:dyDescent="0.2">
      <c r="A128" s="496">
        <f t="shared" si="9"/>
        <v>47543</v>
      </c>
      <c r="B128" s="470">
        <f t="shared" si="8"/>
        <v>-5.8362619016113138E-12</v>
      </c>
      <c r="C128" s="472">
        <f>IF(ROUND(Tableau3626[[#This Row],[Solde début période]],2)&lt;=0,0,$D$2)</f>
        <v>0</v>
      </c>
      <c r="D128" s="472">
        <f t="shared" si="5"/>
        <v>-1.9211028759470575E-14</v>
      </c>
      <c r="E128" s="472">
        <f t="shared" si="6"/>
        <v>1.9211028759470575E-14</v>
      </c>
      <c r="F128" s="470">
        <f t="shared" si="7"/>
        <v>-5.8554729303707847E-12</v>
      </c>
    </row>
    <row r="129" spans="1:6" x14ac:dyDescent="0.2">
      <c r="A129" s="496">
        <f t="shared" si="9"/>
        <v>47574</v>
      </c>
      <c r="B129" s="470">
        <f t="shared" si="8"/>
        <v>-5.8554729303707847E-12</v>
      </c>
      <c r="C129" s="472">
        <f>IF(ROUND(Tableau3626[[#This Row],[Solde début période]],2)&lt;=0,0,$D$2)</f>
        <v>0</v>
      </c>
      <c r="D129" s="472">
        <f t="shared" si="5"/>
        <v>-1.9274265062470499E-14</v>
      </c>
      <c r="E129" s="472">
        <f t="shared" si="6"/>
        <v>1.9274265062470499E-14</v>
      </c>
      <c r="F129" s="470">
        <f t="shared" si="7"/>
        <v>-5.8747471954332556E-12</v>
      </c>
    </row>
    <row r="130" spans="1:6" x14ac:dyDescent="0.2">
      <c r="A130" s="496">
        <f t="shared" si="9"/>
        <v>47604</v>
      </c>
      <c r="B130" s="470">
        <f t="shared" si="8"/>
        <v>-5.8747471954332556E-12</v>
      </c>
      <c r="C130" s="472">
        <f>IF(ROUND(Tableau3626[[#This Row],[Solde début période]],2)&lt;=0,0,$D$2)</f>
        <v>0</v>
      </c>
      <c r="D130" s="472">
        <f t="shared" si="5"/>
        <v>-1.9337709518301133E-14</v>
      </c>
      <c r="E130" s="472">
        <f t="shared" si="6"/>
        <v>1.9337709518301133E-14</v>
      </c>
      <c r="F130" s="470">
        <f t="shared" si="7"/>
        <v>-5.8940849049515567E-12</v>
      </c>
    </row>
    <row r="131" spans="1:6" x14ac:dyDescent="0.2">
      <c r="A131" s="496">
        <f t="shared" si="9"/>
        <v>47635</v>
      </c>
      <c r="B131" s="470">
        <f t="shared" si="8"/>
        <v>-5.8940849049515567E-12</v>
      </c>
      <c r="C131" s="472">
        <f>IF(ROUND(Tableau3626[[#This Row],[Solde début période]],2)&lt;=0,0,$D$2)</f>
        <v>0</v>
      </c>
      <c r="D131" s="472">
        <f t="shared" si="5"/>
        <v>-1.9401362812132206E-14</v>
      </c>
      <c r="E131" s="472">
        <f t="shared" si="6"/>
        <v>1.9401362812132206E-14</v>
      </c>
      <c r="F131" s="470">
        <f t="shared" si="7"/>
        <v>-5.913486267763689E-12</v>
      </c>
    </row>
    <row r="132" spans="1:6" x14ac:dyDescent="0.2">
      <c r="A132" s="496">
        <f t="shared" si="9"/>
        <v>47665</v>
      </c>
      <c r="B132" s="470">
        <f t="shared" si="8"/>
        <v>-5.913486267763689E-12</v>
      </c>
      <c r="C132" s="472">
        <f>IF(ROUND(Tableau3626[[#This Row],[Solde début période]],2)&lt;=0,0,$D$2)</f>
        <v>0</v>
      </c>
      <c r="D132" s="472">
        <f t="shared" si="5"/>
        <v>-1.946522563138881E-14</v>
      </c>
      <c r="E132" s="472">
        <f t="shared" si="6"/>
        <v>1.946522563138881E-14</v>
      </c>
      <c r="F132" s="470">
        <f t="shared" si="7"/>
        <v>-5.9329514933950777E-12</v>
      </c>
    </row>
    <row r="133" spans="1:6" x14ac:dyDescent="0.2">
      <c r="A133" s="496">
        <f t="shared" si="9"/>
        <v>47696</v>
      </c>
      <c r="B133" s="470">
        <f t="shared" si="8"/>
        <v>-5.9329514933950777E-12</v>
      </c>
      <c r="C133" s="472">
        <f>IF(ROUND(Tableau3626[[#This Row],[Solde début période]],2)&lt;=0,0,$D$2)</f>
        <v>0</v>
      </c>
      <c r="D133" s="472">
        <f t="shared" si="5"/>
        <v>-1.9529298665758798E-14</v>
      </c>
      <c r="E133" s="472">
        <f t="shared" si="6"/>
        <v>1.9529298665758798E-14</v>
      </c>
      <c r="F133" s="470">
        <f t="shared" si="7"/>
        <v>-5.9524807920608362E-12</v>
      </c>
    </row>
    <row r="134" spans="1:6" x14ac:dyDescent="0.2">
      <c r="A134" s="496">
        <f t="shared" si="9"/>
        <v>47727</v>
      </c>
      <c r="B134" s="470">
        <f t="shared" si="8"/>
        <v>-5.9524807920608362E-12</v>
      </c>
      <c r="C134" s="472">
        <f>IF(ROUND(Tableau3626[[#This Row],[Solde début période]],2)&lt;=0,0,$D$2)</f>
        <v>0</v>
      </c>
      <c r="D134" s="472">
        <f t="shared" ref="D134:D197" si="10">B134*($B$2/12)</f>
        <v>-1.9593582607200252E-14</v>
      </c>
      <c r="E134" s="472">
        <f t="shared" ref="E134:E197" si="11">C134-D134</f>
        <v>1.9593582607200252E-14</v>
      </c>
      <c r="F134" s="470">
        <f t="shared" ref="F134:F197" si="12">B134-E134</f>
        <v>-5.9720743746680365E-12</v>
      </c>
    </row>
    <row r="135" spans="1:6" x14ac:dyDescent="0.2">
      <c r="A135" s="496">
        <f t="shared" si="9"/>
        <v>47757</v>
      </c>
      <c r="B135" s="470">
        <f t="shared" ref="B135:B198" si="13">F134</f>
        <v>-5.9720743746680365E-12</v>
      </c>
      <c r="C135" s="472">
        <f>IF(ROUND(Tableau3626[[#This Row],[Solde début période]],2)&lt;=0,0,$D$2)</f>
        <v>0</v>
      </c>
      <c r="D135" s="472">
        <f t="shared" si="10"/>
        <v>-1.9658078149948953E-14</v>
      </c>
      <c r="E135" s="472">
        <f t="shared" si="11"/>
        <v>1.9658078149948953E-14</v>
      </c>
      <c r="F135" s="470">
        <f t="shared" si="12"/>
        <v>-5.9917324528179856E-12</v>
      </c>
    </row>
    <row r="136" spans="1:6" x14ac:dyDescent="0.2">
      <c r="A136" s="496">
        <f t="shared" ref="A136:A199" si="14">EDATE(A135,1)</f>
        <v>47788</v>
      </c>
      <c r="B136" s="470">
        <f t="shared" si="13"/>
        <v>-5.9917324528179856E-12</v>
      </c>
      <c r="C136" s="472">
        <f>IF(ROUND(Tableau3626[[#This Row],[Solde début période]],2)&lt;=0,0,$D$2)</f>
        <v>0</v>
      </c>
      <c r="D136" s="472">
        <f t="shared" si="10"/>
        <v>-1.9722785990525869E-14</v>
      </c>
      <c r="E136" s="472">
        <f t="shared" si="11"/>
        <v>1.9722785990525869E-14</v>
      </c>
      <c r="F136" s="470">
        <f t="shared" si="12"/>
        <v>-6.0114552388085117E-12</v>
      </c>
    </row>
    <row r="137" spans="1:6" x14ac:dyDescent="0.2">
      <c r="A137" s="496">
        <f t="shared" si="14"/>
        <v>47818</v>
      </c>
      <c r="B137" s="470">
        <f t="shared" si="13"/>
        <v>-6.0114552388085117E-12</v>
      </c>
      <c r="C137" s="472">
        <f>IF(ROUND(Tableau3626[[#This Row],[Solde début période]],2)&lt;=0,0,$D$2)</f>
        <v>0</v>
      </c>
      <c r="D137" s="472">
        <f t="shared" si="10"/>
        <v>-1.9787706827744686E-14</v>
      </c>
      <c r="E137" s="472">
        <f t="shared" si="11"/>
        <v>1.9787706827744686E-14</v>
      </c>
      <c r="F137" s="470">
        <f t="shared" si="12"/>
        <v>-6.0312429456362565E-12</v>
      </c>
    </row>
    <row r="138" spans="1:6" x14ac:dyDescent="0.2">
      <c r="A138" s="496">
        <f t="shared" si="14"/>
        <v>47849</v>
      </c>
      <c r="B138" s="470">
        <f t="shared" si="13"/>
        <v>-6.0312429456362565E-12</v>
      </c>
      <c r="C138" s="472">
        <f>IF(ROUND(Tableau3626[[#This Row],[Solde début période]],2)&lt;=0,0,$D$2)</f>
        <v>0</v>
      </c>
      <c r="D138" s="472">
        <f t="shared" si="10"/>
        <v>-1.9852841362719344E-14</v>
      </c>
      <c r="E138" s="472">
        <f t="shared" si="11"/>
        <v>1.9852841362719344E-14</v>
      </c>
      <c r="F138" s="470">
        <f t="shared" si="12"/>
        <v>-6.0510957869989757E-12</v>
      </c>
    </row>
    <row r="139" spans="1:6" x14ac:dyDescent="0.2">
      <c r="A139" s="496">
        <f t="shared" si="14"/>
        <v>47880</v>
      </c>
      <c r="B139" s="470">
        <f t="shared" si="13"/>
        <v>-6.0510957869989757E-12</v>
      </c>
      <c r="C139" s="472">
        <f>IF(ROUND(Tableau3626[[#This Row],[Solde début période]],2)&lt;=0,0,$D$2)</f>
        <v>0</v>
      </c>
      <c r="D139" s="472">
        <f t="shared" si="10"/>
        <v>-1.9918190298871629E-14</v>
      </c>
      <c r="E139" s="472">
        <f t="shared" si="11"/>
        <v>1.9918190298871629E-14</v>
      </c>
      <c r="F139" s="470">
        <f t="shared" si="12"/>
        <v>-6.0710139772978474E-12</v>
      </c>
    </row>
    <row r="140" spans="1:6" x14ac:dyDescent="0.2">
      <c r="A140" s="496">
        <f t="shared" si="14"/>
        <v>47908</v>
      </c>
      <c r="B140" s="470">
        <f t="shared" si="13"/>
        <v>-6.0710139772978474E-12</v>
      </c>
      <c r="C140" s="472">
        <f>IF(ROUND(Tableau3626[[#This Row],[Solde début période]],2)&lt;=0,0,$D$2)</f>
        <v>0</v>
      </c>
      <c r="D140" s="472">
        <f t="shared" si="10"/>
        <v>-1.9983754341938749E-14</v>
      </c>
      <c r="E140" s="472">
        <f t="shared" si="11"/>
        <v>1.9983754341938749E-14</v>
      </c>
      <c r="F140" s="470">
        <f t="shared" si="12"/>
        <v>-6.0909977316397861E-12</v>
      </c>
    </row>
    <row r="141" spans="1:6" x14ac:dyDescent="0.2">
      <c r="A141" s="496">
        <f t="shared" si="14"/>
        <v>47939</v>
      </c>
      <c r="B141" s="470">
        <f t="shared" si="13"/>
        <v>-6.0909977316397861E-12</v>
      </c>
      <c r="C141" s="472">
        <f>IF(ROUND(Tableau3626[[#This Row],[Solde début période]],2)&lt;=0,0,$D$2)</f>
        <v>0</v>
      </c>
      <c r="D141" s="472">
        <f t="shared" si="10"/>
        <v>-2.0049534199980962E-14</v>
      </c>
      <c r="E141" s="472">
        <f t="shared" si="11"/>
        <v>2.0049534199980962E-14</v>
      </c>
      <c r="F141" s="470">
        <f t="shared" si="12"/>
        <v>-6.1110472658397671E-12</v>
      </c>
    </row>
    <row r="142" spans="1:6" x14ac:dyDescent="0.2">
      <c r="A142" s="496">
        <f t="shared" si="14"/>
        <v>47969</v>
      </c>
      <c r="B142" s="470">
        <f t="shared" si="13"/>
        <v>-6.1110472658397671E-12</v>
      </c>
      <c r="C142" s="472">
        <f>IF(ROUND(Tableau3626[[#This Row],[Solde début période]],2)&lt;=0,0,$D$2)</f>
        <v>0</v>
      </c>
      <c r="D142" s="472">
        <f t="shared" si="10"/>
        <v>-2.0115530583389234E-14</v>
      </c>
      <c r="E142" s="472">
        <f t="shared" si="11"/>
        <v>2.0115530583389234E-14</v>
      </c>
      <c r="F142" s="470">
        <f t="shared" si="12"/>
        <v>-6.1311627964231562E-12</v>
      </c>
    </row>
    <row r="143" spans="1:6" x14ac:dyDescent="0.2">
      <c r="A143" s="496">
        <f t="shared" si="14"/>
        <v>48000</v>
      </c>
      <c r="B143" s="470">
        <f t="shared" si="13"/>
        <v>-6.1311627964231562E-12</v>
      </c>
      <c r="C143" s="472">
        <f>IF(ROUND(Tableau3626[[#This Row],[Solde début période]],2)&lt;=0,0,$D$2)</f>
        <v>0</v>
      </c>
      <c r="D143" s="472">
        <f t="shared" si="10"/>
        <v>-2.0181744204892888E-14</v>
      </c>
      <c r="E143" s="472">
        <f t="shared" si="11"/>
        <v>2.0181744204892888E-14</v>
      </c>
      <c r="F143" s="470">
        <f t="shared" si="12"/>
        <v>-6.1513445406280494E-12</v>
      </c>
    </row>
    <row r="144" spans="1:6" x14ac:dyDescent="0.2">
      <c r="A144" s="496">
        <f t="shared" si="14"/>
        <v>48030</v>
      </c>
      <c r="B144" s="470">
        <f t="shared" si="13"/>
        <v>-6.1513445406280494E-12</v>
      </c>
      <c r="C144" s="472">
        <f>IF(ROUND(Tableau3626[[#This Row],[Solde début période]],2)&lt;=0,0,$D$2)</f>
        <v>0</v>
      </c>
      <c r="D144" s="472">
        <f t="shared" si="10"/>
        <v>-2.0248175779567331E-14</v>
      </c>
      <c r="E144" s="472">
        <f t="shared" si="11"/>
        <v>2.0248175779567331E-14</v>
      </c>
      <c r="F144" s="470">
        <f t="shared" si="12"/>
        <v>-6.1715927164076169E-12</v>
      </c>
    </row>
    <row r="145" spans="1:6" x14ac:dyDescent="0.2">
      <c r="A145" s="496">
        <f t="shared" si="14"/>
        <v>48061</v>
      </c>
      <c r="B145" s="470">
        <f t="shared" si="13"/>
        <v>-6.1715927164076169E-12</v>
      </c>
      <c r="C145" s="472">
        <f>IF(ROUND(Tableau3626[[#This Row],[Solde début période]],2)&lt;=0,0,$D$2)</f>
        <v>0</v>
      </c>
      <c r="D145" s="472">
        <f t="shared" si="10"/>
        <v>-2.0314826024841741E-14</v>
      </c>
      <c r="E145" s="472">
        <f t="shared" si="11"/>
        <v>2.0314826024841741E-14</v>
      </c>
      <c r="F145" s="470">
        <f t="shared" si="12"/>
        <v>-6.1919075424324584E-12</v>
      </c>
    </row>
    <row r="146" spans="1:6" x14ac:dyDescent="0.2">
      <c r="A146" s="496">
        <f t="shared" si="14"/>
        <v>48092</v>
      </c>
      <c r="B146" s="470">
        <f t="shared" si="13"/>
        <v>-6.1919075424324584E-12</v>
      </c>
      <c r="C146" s="472">
        <f>IF(ROUND(Tableau3626[[#This Row],[Solde début période]],2)&lt;=0,0,$D$2)</f>
        <v>0</v>
      </c>
      <c r="D146" s="472">
        <f t="shared" si="10"/>
        <v>-2.0381695660506841E-14</v>
      </c>
      <c r="E146" s="472">
        <f t="shared" si="11"/>
        <v>2.0381695660506841E-14</v>
      </c>
      <c r="F146" s="470">
        <f t="shared" si="12"/>
        <v>-6.2122892380929657E-12</v>
      </c>
    </row>
    <row r="147" spans="1:6" x14ac:dyDescent="0.2">
      <c r="A147" s="496">
        <f t="shared" si="14"/>
        <v>48122</v>
      </c>
      <c r="B147" s="470">
        <f t="shared" si="13"/>
        <v>-6.2122892380929657E-12</v>
      </c>
      <c r="C147" s="472">
        <f>IF(ROUND(Tableau3626[[#This Row],[Solde début période]],2)&lt;=0,0,$D$2)</f>
        <v>0</v>
      </c>
      <c r="D147" s="472">
        <f t="shared" si="10"/>
        <v>-2.044878540872268E-14</v>
      </c>
      <c r="E147" s="472">
        <f t="shared" si="11"/>
        <v>2.044878540872268E-14</v>
      </c>
      <c r="F147" s="470">
        <f t="shared" si="12"/>
        <v>-6.232738023501688E-12</v>
      </c>
    </row>
    <row r="148" spans="1:6" x14ac:dyDescent="0.2">
      <c r="A148" s="496">
        <f t="shared" si="14"/>
        <v>48153</v>
      </c>
      <c r="B148" s="470">
        <f t="shared" si="13"/>
        <v>-6.232738023501688E-12</v>
      </c>
      <c r="C148" s="472">
        <f>IF(ROUND(Tableau3626[[#This Row],[Solde début période]],2)&lt;=0,0,$D$2)</f>
        <v>0</v>
      </c>
      <c r="D148" s="472">
        <f t="shared" si="10"/>
        <v>-2.0516095994026388E-14</v>
      </c>
      <c r="E148" s="472">
        <f t="shared" si="11"/>
        <v>2.0516095994026388E-14</v>
      </c>
      <c r="F148" s="470">
        <f t="shared" si="12"/>
        <v>-6.2532541194957146E-12</v>
      </c>
    </row>
    <row r="149" spans="1:6" x14ac:dyDescent="0.2">
      <c r="A149" s="496">
        <f t="shared" si="14"/>
        <v>48183</v>
      </c>
      <c r="B149" s="470">
        <f t="shared" si="13"/>
        <v>-6.2532541194957146E-12</v>
      </c>
      <c r="C149" s="472">
        <f>IF(ROUND(Tableau3626[[#This Row],[Solde début période]],2)&lt;=0,0,$D$2)</f>
        <v>0</v>
      </c>
      <c r="D149" s="472">
        <f t="shared" si="10"/>
        <v>-2.0583628143340061E-14</v>
      </c>
      <c r="E149" s="472">
        <f t="shared" si="11"/>
        <v>2.0583628143340061E-14</v>
      </c>
      <c r="F149" s="470">
        <f t="shared" si="12"/>
        <v>-6.2738377476390546E-12</v>
      </c>
    </row>
    <row r="150" spans="1:6" x14ac:dyDescent="0.2">
      <c r="A150" s="496">
        <f t="shared" si="14"/>
        <v>48214</v>
      </c>
      <c r="B150" s="470">
        <f t="shared" si="13"/>
        <v>-6.2738377476390546E-12</v>
      </c>
      <c r="C150" s="472">
        <f>IF(ROUND(Tableau3626[[#This Row],[Solde début période]],2)&lt;=0,0,$D$2)</f>
        <v>0</v>
      </c>
      <c r="D150" s="472">
        <f t="shared" si="10"/>
        <v>-2.0651382585978555E-14</v>
      </c>
      <c r="E150" s="472">
        <f t="shared" si="11"/>
        <v>2.0651382585978555E-14</v>
      </c>
      <c r="F150" s="470">
        <f t="shared" si="12"/>
        <v>-6.2944891302250334E-12</v>
      </c>
    </row>
    <row r="151" spans="1:6" x14ac:dyDescent="0.2">
      <c r="A151" s="496">
        <f t="shared" si="14"/>
        <v>48245</v>
      </c>
      <c r="B151" s="470">
        <f t="shared" si="13"/>
        <v>-6.2944891302250334E-12</v>
      </c>
      <c r="C151" s="472">
        <f>IF(ROUND(Tableau3626[[#This Row],[Solde début période]],2)&lt;=0,0,$D$2)</f>
        <v>0</v>
      </c>
      <c r="D151" s="472">
        <f t="shared" si="10"/>
        <v>-2.0719360053657401E-14</v>
      </c>
      <c r="E151" s="472">
        <f t="shared" si="11"/>
        <v>2.0719360053657401E-14</v>
      </c>
      <c r="F151" s="470">
        <f t="shared" si="12"/>
        <v>-6.3152084902786912E-12</v>
      </c>
    </row>
    <row r="152" spans="1:6" x14ac:dyDescent="0.2">
      <c r="A152" s="496">
        <f t="shared" si="14"/>
        <v>48274</v>
      </c>
      <c r="B152" s="470">
        <f t="shared" si="13"/>
        <v>-6.3152084902786912E-12</v>
      </c>
      <c r="C152" s="472">
        <f>IF(ROUND(Tableau3626[[#This Row],[Solde début période]],2)&lt;=0,0,$D$2)</f>
        <v>0</v>
      </c>
      <c r="D152" s="472">
        <f t="shared" si="10"/>
        <v>-2.0787561280500693E-14</v>
      </c>
      <c r="E152" s="472">
        <f t="shared" si="11"/>
        <v>2.0787561280500693E-14</v>
      </c>
      <c r="F152" s="470">
        <f t="shared" si="12"/>
        <v>-6.3359960515591916E-12</v>
      </c>
    </row>
    <row r="153" spans="1:6" x14ac:dyDescent="0.2">
      <c r="A153" s="496">
        <f t="shared" si="14"/>
        <v>48305</v>
      </c>
      <c r="B153" s="470">
        <f t="shared" si="13"/>
        <v>-6.3359960515591916E-12</v>
      </c>
      <c r="C153" s="472">
        <f>IF(ROUND(Tableau3626[[#This Row],[Solde début période]],2)&lt;=0,0,$D$2)</f>
        <v>0</v>
      </c>
      <c r="D153" s="472">
        <f t="shared" si="10"/>
        <v>-2.0855987003049006E-14</v>
      </c>
      <c r="E153" s="472">
        <f t="shared" si="11"/>
        <v>2.0855987003049006E-14</v>
      </c>
      <c r="F153" s="470">
        <f t="shared" si="12"/>
        <v>-6.3568520385622407E-12</v>
      </c>
    </row>
    <row r="154" spans="1:6" x14ac:dyDescent="0.2">
      <c r="A154" s="496">
        <f t="shared" si="14"/>
        <v>48335</v>
      </c>
      <c r="B154" s="470">
        <f t="shared" si="13"/>
        <v>-6.3568520385622407E-12</v>
      </c>
      <c r="C154" s="472">
        <f>IF(ROUND(Tableau3626[[#This Row],[Solde début période]],2)&lt;=0,0,$D$2)</f>
        <v>0</v>
      </c>
      <c r="D154" s="472">
        <f t="shared" si="10"/>
        <v>-2.0924637960267375E-14</v>
      </c>
      <c r="E154" s="472">
        <f t="shared" si="11"/>
        <v>2.0924637960267375E-14</v>
      </c>
      <c r="F154" s="470">
        <f t="shared" si="12"/>
        <v>-6.3777766765225083E-12</v>
      </c>
    </row>
    <row r="155" spans="1:6" x14ac:dyDescent="0.2">
      <c r="A155" s="496">
        <f t="shared" si="14"/>
        <v>48366</v>
      </c>
      <c r="B155" s="470">
        <f t="shared" si="13"/>
        <v>-6.3777766765225083E-12</v>
      </c>
      <c r="C155" s="472">
        <f>IF(ROUND(Tableau3626[[#This Row],[Solde début période]],2)&lt;=0,0,$D$2)</f>
        <v>0</v>
      </c>
      <c r="D155" s="472">
        <f t="shared" si="10"/>
        <v>-2.0993514893553257E-14</v>
      </c>
      <c r="E155" s="472">
        <f t="shared" si="11"/>
        <v>2.0993514893553257E-14</v>
      </c>
      <c r="F155" s="470">
        <f t="shared" si="12"/>
        <v>-6.398770191416062E-12</v>
      </c>
    </row>
    <row r="156" spans="1:6" x14ac:dyDescent="0.2">
      <c r="A156" s="496">
        <f t="shared" si="14"/>
        <v>48396</v>
      </c>
      <c r="B156" s="470">
        <f t="shared" si="13"/>
        <v>-6.398770191416062E-12</v>
      </c>
      <c r="C156" s="472">
        <f>IF(ROUND(Tableau3626[[#This Row],[Solde début période]],2)&lt;=0,0,$D$2)</f>
        <v>0</v>
      </c>
      <c r="D156" s="472">
        <f t="shared" si="10"/>
        <v>-2.1062618546744536E-14</v>
      </c>
      <c r="E156" s="472">
        <f t="shared" si="11"/>
        <v>2.1062618546744536E-14</v>
      </c>
      <c r="F156" s="470">
        <f t="shared" si="12"/>
        <v>-6.4198328099628066E-12</v>
      </c>
    </row>
    <row r="157" spans="1:6" x14ac:dyDescent="0.2">
      <c r="A157" s="496">
        <f t="shared" si="14"/>
        <v>48427</v>
      </c>
      <c r="B157" s="470">
        <f t="shared" si="13"/>
        <v>-6.4198328099628066E-12</v>
      </c>
      <c r="C157" s="472">
        <f>IF(ROUND(Tableau3626[[#This Row],[Solde début période]],2)&lt;=0,0,$D$2)</f>
        <v>0</v>
      </c>
      <c r="D157" s="472">
        <f t="shared" si="10"/>
        <v>-2.1131949666127572E-14</v>
      </c>
      <c r="E157" s="472">
        <f t="shared" si="11"/>
        <v>2.1131949666127572E-14</v>
      </c>
      <c r="F157" s="470">
        <f t="shared" si="12"/>
        <v>-6.4409647596289344E-12</v>
      </c>
    </row>
    <row r="158" spans="1:6" x14ac:dyDescent="0.2">
      <c r="A158" s="496">
        <f t="shared" si="14"/>
        <v>48458</v>
      </c>
      <c r="B158" s="470">
        <f t="shared" si="13"/>
        <v>-6.4409647596289344E-12</v>
      </c>
      <c r="C158" s="472">
        <f>IF(ROUND(Tableau3626[[#This Row],[Solde début période]],2)&lt;=0,0,$D$2)</f>
        <v>0</v>
      </c>
      <c r="D158" s="472">
        <f t="shared" si="10"/>
        <v>-2.1201509000445243E-14</v>
      </c>
      <c r="E158" s="472">
        <f t="shared" si="11"/>
        <v>2.1201509000445243E-14</v>
      </c>
      <c r="F158" s="470">
        <f t="shared" si="12"/>
        <v>-6.46216626862938E-12</v>
      </c>
    </row>
    <row r="159" spans="1:6" x14ac:dyDescent="0.2">
      <c r="A159" s="496">
        <f t="shared" si="14"/>
        <v>48488</v>
      </c>
      <c r="B159" s="470">
        <f t="shared" si="13"/>
        <v>-6.46216626862938E-12</v>
      </c>
      <c r="C159" s="472">
        <f>IF(ROUND(Tableau3626[[#This Row],[Solde début période]],2)&lt;=0,0,$D$2)</f>
        <v>0</v>
      </c>
      <c r="D159" s="472">
        <f t="shared" si="10"/>
        <v>-2.1271297300905042E-14</v>
      </c>
      <c r="E159" s="472">
        <f t="shared" si="11"/>
        <v>2.1271297300905042E-14</v>
      </c>
      <c r="F159" s="470">
        <f t="shared" si="12"/>
        <v>-6.4834375659302848E-12</v>
      </c>
    </row>
    <row r="160" spans="1:6" x14ac:dyDescent="0.2">
      <c r="A160" s="496">
        <f t="shared" si="14"/>
        <v>48519</v>
      </c>
      <c r="B160" s="470">
        <f t="shared" si="13"/>
        <v>-6.4834375659302848E-12</v>
      </c>
      <c r="C160" s="472">
        <f>IF(ROUND(Tableau3626[[#This Row],[Solde début période]],2)&lt;=0,0,$D$2)</f>
        <v>0</v>
      </c>
      <c r="D160" s="472">
        <f t="shared" si="10"/>
        <v>-2.1341315321187189E-14</v>
      </c>
      <c r="E160" s="472">
        <f t="shared" si="11"/>
        <v>2.1341315321187189E-14</v>
      </c>
      <c r="F160" s="470">
        <f t="shared" si="12"/>
        <v>-6.5047788812514718E-12</v>
      </c>
    </row>
    <row r="161" spans="1:6" x14ac:dyDescent="0.2">
      <c r="A161" s="496">
        <f t="shared" si="14"/>
        <v>48549</v>
      </c>
      <c r="B161" s="470">
        <f t="shared" si="13"/>
        <v>-6.5047788812514718E-12</v>
      </c>
      <c r="C161" s="472">
        <f>IF(ROUND(Tableau3626[[#This Row],[Solde début période]],2)&lt;=0,0,$D$2)</f>
        <v>0</v>
      </c>
      <c r="D161" s="472">
        <f t="shared" si="10"/>
        <v>-2.1411563817452762E-14</v>
      </c>
      <c r="E161" s="472">
        <f t="shared" si="11"/>
        <v>2.1411563817452762E-14</v>
      </c>
      <c r="F161" s="470">
        <f t="shared" si="12"/>
        <v>-6.5261904450689247E-12</v>
      </c>
    </row>
    <row r="162" spans="1:6" x14ac:dyDescent="0.2">
      <c r="A162" s="496">
        <f t="shared" si="14"/>
        <v>48580</v>
      </c>
      <c r="B162" s="470">
        <f t="shared" si="13"/>
        <v>-6.5261904450689247E-12</v>
      </c>
      <c r="C162" s="472">
        <f>IF(ROUND(Tableau3626[[#This Row],[Solde début période]],2)&lt;=0,0,$D$2)</f>
        <v>0</v>
      </c>
      <c r="D162" s="472">
        <f t="shared" si="10"/>
        <v>-2.1482043548351877E-14</v>
      </c>
      <c r="E162" s="472">
        <f t="shared" si="11"/>
        <v>2.1482043548351877E-14</v>
      </c>
      <c r="F162" s="470">
        <f t="shared" si="12"/>
        <v>-6.5476724886172766E-12</v>
      </c>
    </row>
    <row r="163" spans="1:6" x14ac:dyDescent="0.2">
      <c r="A163" s="496">
        <f t="shared" si="14"/>
        <v>48611</v>
      </c>
      <c r="B163" s="470">
        <f t="shared" si="13"/>
        <v>-6.5476724886172766E-12</v>
      </c>
      <c r="C163" s="472">
        <f>IF(ROUND(Tableau3626[[#This Row],[Solde début période]],2)&lt;=0,0,$D$2)</f>
        <v>0</v>
      </c>
      <c r="D163" s="472">
        <f t="shared" si="10"/>
        <v>-2.155275527503187E-14</v>
      </c>
      <c r="E163" s="472">
        <f t="shared" si="11"/>
        <v>2.155275527503187E-14</v>
      </c>
      <c r="F163" s="470">
        <f t="shared" si="12"/>
        <v>-6.5692252438923083E-12</v>
      </c>
    </row>
    <row r="164" spans="1:6" x14ac:dyDescent="0.2">
      <c r="A164" s="496">
        <f t="shared" si="14"/>
        <v>48639</v>
      </c>
      <c r="B164" s="470">
        <f t="shared" si="13"/>
        <v>-6.5692252438923083E-12</v>
      </c>
      <c r="C164" s="472">
        <f>IF(ROUND(Tableau3626[[#This Row],[Solde début période]],2)&lt;=0,0,$D$2)</f>
        <v>0</v>
      </c>
      <c r="D164" s="472">
        <f t="shared" si="10"/>
        <v>-2.1623699761145514E-14</v>
      </c>
      <c r="E164" s="472">
        <f t="shared" si="11"/>
        <v>2.1623699761145514E-14</v>
      </c>
      <c r="F164" s="470">
        <f t="shared" si="12"/>
        <v>-6.5908489436534541E-12</v>
      </c>
    </row>
    <row r="165" spans="1:6" x14ac:dyDescent="0.2">
      <c r="A165" s="496">
        <f t="shared" si="14"/>
        <v>48670</v>
      </c>
      <c r="B165" s="470">
        <f t="shared" si="13"/>
        <v>-6.5908489436534541E-12</v>
      </c>
      <c r="C165" s="472">
        <f>IF(ROUND(Tableau3626[[#This Row],[Solde début période]],2)&lt;=0,0,$D$2)</f>
        <v>0</v>
      </c>
      <c r="D165" s="472">
        <f t="shared" si="10"/>
        <v>-2.1694877772859287E-14</v>
      </c>
      <c r="E165" s="472">
        <f t="shared" si="11"/>
        <v>2.1694877772859287E-14</v>
      </c>
      <c r="F165" s="470">
        <f t="shared" si="12"/>
        <v>-6.6125438214263134E-12</v>
      </c>
    </row>
    <row r="166" spans="1:6" x14ac:dyDescent="0.2">
      <c r="A166" s="496">
        <f t="shared" si="14"/>
        <v>48700</v>
      </c>
      <c r="B166" s="470">
        <f t="shared" si="13"/>
        <v>-6.6125438214263134E-12</v>
      </c>
      <c r="C166" s="472">
        <f>IF(ROUND(Tableau3626[[#This Row],[Solde début période]],2)&lt;=0,0,$D$2)</f>
        <v>0</v>
      </c>
      <c r="D166" s="472">
        <f t="shared" si="10"/>
        <v>-2.1766290078861614E-14</v>
      </c>
      <c r="E166" s="472">
        <f t="shared" si="11"/>
        <v>2.1766290078861614E-14</v>
      </c>
      <c r="F166" s="470">
        <f t="shared" si="12"/>
        <v>-6.6343101115051751E-12</v>
      </c>
    </row>
    <row r="167" spans="1:6" x14ac:dyDescent="0.2">
      <c r="A167" s="496">
        <f t="shared" si="14"/>
        <v>48731</v>
      </c>
      <c r="B167" s="470">
        <f t="shared" si="13"/>
        <v>-6.6343101115051751E-12</v>
      </c>
      <c r="C167" s="472">
        <f>IF(ROUND(Tableau3626[[#This Row],[Solde début période]],2)&lt;=0,0,$D$2)</f>
        <v>0</v>
      </c>
      <c r="D167" s="472">
        <f t="shared" si="10"/>
        <v>-2.1837937450371202E-14</v>
      </c>
      <c r="E167" s="472">
        <f t="shared" si="11"/>
        <v>2.1837937450371202E-14</v>
      </c>
      <c r="F167" s="470">
        <f t="shared" si="12"/>
        <v>-6.6561480489555461E-12</v>
      </c>
    </row>
    <row r="168" spans="1:6" x14ac:dyDescent="0.2">
      <c r="A168" s="496">
        <f t="shared" si="14"/>
        <v>48761</v>
      </c>
      <c r="B168" s="470">
        <f t="shared" si="13"/>
        <v>-6.6561480489555461E-12</v>
      </c>
      <c r="C168" s="472">
        <f>IF(ROUND(Tableau3626[[#This Row],[Solde début période]],2)&lt;=0,0,$D$2)</f>
        <v>0</v>
      </c>
      <c r="D168" s="472">
        <f t="shared" si="10"/>
        <v>-2.190982066114534E-14</v>
      </c>
      <c r="E168" s="472">
        <f t="shared" si="11"/>
        <v>2.190982066114534E-14</v>
      </c>
      <c r="F168" s="470">
        <f t="shared" si="12"/>
        <v>-6.6780578696166915E-12</v>
      </c>
    </row>
    <row r="169" spans="1:6" x14ac:dyDescent="0.2">
      <c r="A169" s="496">
        <f t="shared" si="14"/>
        <v>48792</v>
      </c>
      <c r="B169" s="470">
        <f t="shared" si="13"/>
        <v>-6.6780578696166915E-12</v>
      </c>
      <c r="C169" s="472">
        <f>IF(ROUND(Tableau3626[[#This Row],[Solde début période]],2)&lt;=0,0,$D$2)</f>
        <v>0</v>
      </c>
      <c r="D169" s="472">
        <f t="shared" si="10"/>
        <v>-2.1981940487488277E-14</v>
      </c>
      <c r="E169" s="472">
        <f t="shared" si="11"/>
        <v>2.1981940487488277E-14</v>
      </c>
      <c r="F169" s="470">
        <f t="shared" si="12"/>
        <v>-6.7000398101041797E-12</v>
      </c>
    </row>
    <row r="170" spans="1:6" x14ac:dyDescent="0.2">
      <c r="A170" s="496">
        <f t="shared" si="14"/>
        <v>48823</v>
      </c>
      <c r="B170" s="470">
        <f t="shared" si="13"/>
        <v>-6.7000398101041797E-12</v>
      </c>
      <c r="C170" s="472">
        <f>IF(ROUND(Tableau3626[[#This Row],[Solde début période]],2)&lt;=0,0,$D$2)</f>
        <v>0</v>
      </c>
      <c r="D170" s="472">
        <f t="shared" si="10"/>
        <v>-2.2054297708259592E-14</v>
      </c>
      <c r="E170" s="472">
        <f t="shared" si="11"/>
        <v>2.2054297708259592E-14</v>
      </c>
      <c r="F170" s="470">
        <f t="shared" si="12"/>
        <v>-6.722094107812439E-12</v>
      </c>
    </row>
    <row r="171" spans="1:6" x14ac:dyDescent="0.2">
      <c r="A171" s="496">
        <f t="shared" si="14"/>
        <v>48853</v>
      </c>
      <c r="B171" s="470">
        <f t="shared" si="13"/>
        <v>-6.722094107812439E-12</v>
      </c>
      <c r="C171" s="472">
        <f>IF(ROUND(Tableau3626[[#This Row],[Solde début période]],2)&lt;=0,0,$D$2)</f>
        <v>0</v>
      </c>
      <c r="D171" s="472">
        <f t="shared" si="10"/>
        <v>-2.2126893104882611E-14</v>
      </c>
      <c r="E171" s="472">
        <f t="shared" si="11"/>
        <v>2.2126893104882611E-14</v>
      </c>
      <c r="F171" s="470">
        <f t="shared" si="12"/>
        <v>-6.7442210009173218E-12</v>
      </c>
    </row>
    <row r="172" spans="1:6" x14ac:dyDescent="0.2">
      <c r="A172" s="496">
        <f t="shared" si="14"/>
        <v>48884</v>
      </c>
      <c r="B172" s="470">
        <f t="shared" si="13"/>
        <v>-6.7442210009173218E-12</v>
      </c>
      <c r="C172" s="472">
        <f>IF(ROUND(Tableau3626[[#This Row],[Solde début période]],2)&lt;=0,0,$D$2)</f>
        <v>0</v>
      </c>
      <c r="D172" s="472">
        <f t="shared" si="10"/>
        <v>-2.219972746135285E-14</v>
      </c>
      <c r="E172" s="472">
        <f t="shared" si="11"/>
        <v>2.219972746135285E-14</v>
      </c>
      <c r="F172" s="470">
        <f t="shared" si="12"/>
        <v>-6.7664207283786747E-12</v>
      </c>
    </row>
    <row r="173" spans="1:6" x14ac:dyDescent="0.2">
      <c r="A173" s="496">
        <f t="shared" si="14"/>
        <v>48914</v>
      </c>
      <c r="B173" s="470">
        <f t="shared" si="13"/>
        <v>-6.7664207283786747E-12</v>
      </c>
      <c r="C173" s="472">
        <f>IF(ROUND(Tableau3626[[#This Row],[Solde début période]],2)&lt;=0,0,$D$2)</f>
        <v>0</v>
      </c>
      <c r="D173" s="472">
        <f t="shared" si="10"/>
        <v>-2.227280156424647E-14</v>
      </c>
      <c r="E173" s="472">
        <f t="shared" si="11"/>
        <v>2.227280156424647E-14</v>
      </c>
      <c r="F173" s="470">
        <f t="shared" si="12"/>
        <v>-6.7886935299429214E-12</v>
      </c>
    </row>
    <row r="174" spans="1:6" x14ac:dyDescent="0.2">
      <c r="A174" s="496">
        <f t="shared" si="14"/>
        <v>48945</v>
      </c>
      <c r="B174" s="470">
        <f t="shared" si="13"/>
        <v>-6.7886935299429214E-12</v>
      </c>
      <c r="C174" s="472">
        <f>IF(ROUND(Tableau3626[[#This Row],[Solde début période]],2)&lt;=0,0,$D$2)</f>
        <v>0</v>
      </c>
      <c r="D174" s="472">
        <f t="shared" si="10"/>
        <v>-2.2346116202728783E-14</v>
      </c>
      <c r="E174" s="472">
        <f t="shared" si="11"/>
        <v>2.2346116202728783E-14</v>
      </c>
      <c r="F174" s="470">
        <f t="shared" si="12"/>
        <v>-6.8110396461456504E-12</v>
      </c>
    </row>
    <row r="175" spans="1:6" x14ac:dyDescent="0.2">
      <c r="A175" s="496">
        <f t="shared" si="14"/>
        <v>48976</v>
      </c>
      <c r="B175" s="470">
        <f t="shared" si="13"/>
        <v>-6.8110396461456504E-12</v>
      </c>
      <c r="C175" s="472">
        <f>IF(ROUND(Tableau3626[[#This Row],[Solde début période]],2)&lt;=0,0,$D$2)</f>
        <v>0</v>
      </c>
      <c r="D175" s="472">
        <f t="shared" si="10"/>
        <v>-2.2419672168562766E-14</v>
      </c>
      <c r="E175" s="472">
        <f t="shared" si="11"/>
        <v>2.2419672168562766E-14</v>
      </c>
      <c r="F175" s="470">
        <f t="shared" si="12"/>
        <v>-6.8334593183142132E-12</v>
      </c>
    </row>
    <row r="176" spans="1:6" x14ac:dyDescent="0.2">
      <c r="A176" s="496">
        <f t="shared" si="14"/>
        <v>49004</v>
      </c>
      <c r="B176" s="470">
        <f t="shared" si="13"/>
        <v>-6.8334593183142132E-12</v>
      </c>
      <c r="C176" s="472">
        <f>IF(ROUND(Tableau3626[[#This Row],[Solde début période]],2)&lt;=0,0,$D$2)</f>
        <v>0</v>
      </c>
      <c r="D176" s="472">
        <f t="shared" si="10"/>
        <v>-2.2493470256117618E-14</v>
      </c>
      <c r="E176" s="472">
        <f t="shared" si="11"/>
        <v>2.2493470256117618E-14</v>
      </c>
      <c r="F176" s="470">
        <f t="shared" si="12"/>
        <v>-6.855952788570331E-12</v>
      </c>
    </row>
    <row r="177" spans="1:6" x14ac:dyDescent="0.2">
      <c r="A177" s="496">
        <f t="shared" si="14"/>
        <v>49035</v>
      </c>
      <c r="B177" s="470">
        <f t="shared" si="13"/>
        <v>-6.855952788570331E-12</v>
      </c>
      <c r="C177" s="472">
        <f>IF(ROUND(Tableau3626[[#This Row],[Solde début période]],2)&lt;=0,0,$D$2)</f>
        <v>0</v>
      </c>
      <c r="D177" s="472">
        <f t="shared" si="10"/>
        <v>-2.2567511262377338E-14</v>
      </c>
      <c r="E177" s="472">
        <f t="shared" si="11"/>
        <v>2.2567511262377338E-14</v>
      </c>
      <c r="F177" s="470">
        <f t="shared" si="12"/>
        <v>-6.8785202998327086E-12</v>
      </c>
    </row>
    <row r="178" spans="1:6" x14ac:dyDescent="0.2">
      <c r="A178" s="496">
        <f t="shared" si="14"/>
        <v>49065</v>
      </c>
      <c r="B178" s="470">
        <f t="shared" si="13"/>
        <v>-6.8785202998327086E-12</v>
      </c>
      <c r="C178" s="472">
        <f>IF(ROUND(Tableau3626[[#This Row],[Solde début période]],2)&lt;=0,0,$D$2)</f>
        <v>0</v>
      </c>
      <c r="D178" s="472">
        <f t="shared" si="10"/>
        <v>-2.2641795986949332E-14</v>
      </c>
      <c r="E178" s="472">
        <f t="shared" si="11"/>
        <v>2.2641795986949332E-14</v>
      </c>
      <c r="F178" s="470">
        <f t="shared" si="12"/>
        <v>-6.9011620958196582E-12</v>
      </c>
    </row>
    <row r="179" spans="1:6" x14ac:dyDescent="0.2">
      <c r="A179" s="496">
        <f t="shared" si="14"/>
        <v>49096</v>
      </c>
      <c r="B179" s="470">
        <f t="shared" si="13"/>
        <v>-6.9011620958196582E-12</v>
      </c>
      <c r="C179" s="472">
        <f>IF(ROUND(Tableau3626[[#This Row],[Solde début période]],2)&lt;=0,0,$D$2)</f>
        <v>0</v>
      </c>
      <c r="D179" s="472">
        <f t="shared" si="10"/>
        <v>-2.2716325232073042E-14</v>
      </c>
      <c r="E179" s="472">
        <f t="shared" si="11"/>
        <v>2.2716325232073042E-14</v>
      </c>
      <c r="F179" s="470">
        <f t="shared" si="12"/>
        <v>-6.9238784210517313E-12</v>
      </c>
    </row>
    <row r="180" spans="1:6" x14ac:dyDescent="0.2">
      <c r="A180" s="496">
        <f t="shared" si="14"/>
        <v>49126</v>
      </c>
      <c r="B180" s="470">
        <f t="shared" si="13"/>
        <v>-6.9238784210517313E-12</v>
      </c>
      <c r="C180" s="472">
        <f>IF(ROUND(Tableau3626[[#This Row],[Solde début période]],2)&lt;=0,0,$D$2)</f>
        <v>0</v>
      </c>
      <c r="D180" s="472">
        <f t="shared" si="10"/>
        <v>-2.2791099802628615E-14</v>
      </c>
      <c r="E180" s="472">
        <f t="shared" si="11"/>
        <v>2.2791099802628615E-14</v>
      </c>
      <c r="F180" s="470">
        <f t="shared" si="12"/>
        <v>-6.9466695208543598E-12</v>
      </c>
    </row>
    <row r="181" spans="1:6" x14ac:dyDescent="0.2">
      <c r="A181" s="496">
        <f t="shared" si="14"/>
        <v>49157</v>
      </c>
      <c r="B181" s="470">
        <f t="shared" si="13"/>
        <v>-6.9466695208543598E-12</v>
      </c>
      <c r="C181" s="472">
        <f>IF(ROUND(Tableau3626[[#This Row],[Solde début période]],2)&lt;=0,0,$D$2)</f>
        <v>0</v>
      </c>
      <c r="D181" s="472">
        <f t="shared" si="10"/>
        <v>-2.2866120506145601E-14</v>
      </c>
      <c r="E181" s="472">
        <f t="shared" si="11"/>
        <v>2.2866120506145601E-14</v>
      </c>
      <c r="F181" s="470">
        <f t="shared" si="12"/>
        <v>-6.9695356413605053E-12</v>
      </c>
    </row>
    <row r="182" spans="1:6" x14ac:dyDescent="0.2">
      <c r="A182" s="496">
        <f t="shared" si="14"/>
        <v>49188</v>
      </c>
      <c r="B182" s="470">
        <f t="shared" si="13"/>
        <v>-6.9695356413605053E-12</v>
      </c>
      <c r="C182" s="472">
        <f>IF(ROUND(Tableau3626[[#This Row],[Solde début période]],2)&lt;=0,0,$D$2)</f>
        <v>0</v>
      </c>
      <c r="D182" s="472">
        <f t="shared" si="10"/>
        <v>-2.2941388152811663E-14</v>
      </c>
      <c r="E182" s="472">
        <f t="shared" si="11"/>
        <v>2.2941388152811663E-14</v>
      </c>
      <c r="F182" s="470">
        <f t="shared" si="12"/>
        <v>-6.9924770295133171E-12</v>
      </c>
    </row>
    <row r="183" spans="1:6" x14ac:dyDescent="0.2">
      <c r="A183" s="496">
        <f t="shared" si="14"/>
        <v>49218</v>
      </c>
      <c r="B183" s="470">
        <f t="shared" si="13"/>
        <v>-6.9924770295133171E-12</v>
      </c>
      <c r="C183" s="472">
        <f>IF(ROUND(Tableau3626[[#This Row],[Solde début période]],2)&lt;=0,0,$D$2)</f>
        <v>0</v>
      </c>
      <c r="D183" s="472">
        <f t="shared" si="10"/>
        <v>-2.3016903555481337E-14</v>
      </c>
      <c r="E183" s="472">
        <f t="shared" si="11"/>
        <v>2.3016903555481337E-14</v>
      </c>
      <c r="F183" s="470">
        <f t="shared" si="12"/>
        <v>-7.0154939330687982E-12</v>
      </c>
    </row>
    <row r="184" spans="1:6" x14ac:dyDescent="0.2">
      <c r="A184" s="496">
        <f t="shared" si="14"/>
        <v>49249</v>
      </c>
      <c r="B184" s="470">
        <f t="shared" si="13"/>
        <v>-7.0154939330687982E-12</v>
      </c>
      <c r="C184" s="472">
        <f>IF(ROUND(Tableau3626[[#This Row],[Solde début période]],2)&lt;=0,0,$D$2)</f>
        <v>0</v>
      </c>
      <c r="D184" s="472">
        <f t="shared" si="10"/>
        <v>-2.3092667529684794E-14</v>
      </c>
      <c r="E184" s="472">
        <f t="shared" si="11"/>
        <v>2.3092667529684794E-14</v>
      </c>
      <c r="F184" s="470">
        <f t="shared" si="12"/>
        <v>-7.0385866005984828E-12</v>
      </c>
    </row>
    <row r="185" spans="1:6" x14ac:dyDescent="0.2">
      <c r="A185" s="496">
        <f t="shared" si="14"/>
        <v>49279</v>
      </c>
      <c r="B185" s="470">
        <f t="shared" si="13"/>
        <v>-7.0385866005984828E-12</v>
      </c>
      <c r="C185" s="472">
        <f>IF(ROUND(Tableau3626[[#This Row],[Solde début période]],2)&lt;=0,0,$D$2)</f>
        <v>0</v>
      </c>
      <c r="D185" s="472">
        <f t="shared" si="10"/>
        <v>-2.3168680893636674E-14</v>
      </c>
      <c r="E185" s="472">
        <f t="shared" si="11"/>
        <v>2.3168680893636674E-14</v>
      </c>
      <c r="F185" s="470">
        <f t="shared" si="12"/>
        <v>-7.0617552814921195E-12</v>
      </c>
    </row>
    <row r="186" spans="1:6" x14ac:dyDescent="0.2">
      <c r="A186" s="496">
        <f t="shared" si="14"/>
        <v>49310</v>
      </c>
      <c r="B186" s="470">
        <f t="shared" si="13"/>
        <v>-7.0617552814921195E-12</v>
      </c>
      <c r="C186" s="472">
        <f>IF(ROUND(Tableau3626[[#This Row],[Solde début période]],2)&lt;=0,0,$D$2)</f>
        <v>0</v>
      </c>
      <c r="D186" s="472">
        <f t="shared" si="10"/>
        <v>-2.3244944468244894E-14</v>
      </c>
      <c r="E186" s="472">
        <f t="shared" si="11"/>
        <v>2.3244944468244894E-14</v>
      </c>
      <c r="F186" s="470">
        <f t="shared" si="12"/>
        <v>-7.0850002259603647E-12</v>
      </c>
    </row>
    <row r="187" spans="1:6" x14ac:dyDescent="0.2">
      <c r="A187" s="496">
        <f t="shared" si="14"/>
        <v>49341</v>
      </c>
      <c r="B187" s="470">
        <f t="shared" si="13"/>
        <v>-7.0850002259603647E-12</v>
      </c>
      <c r="C187" s="472">
        <f>IF(ROUND(Tableau3626[[#This Row],[Solde début période]],2)&lt;=0,0,$D$2)</f>
        <v>0</v>
      </c>
      <c r="D187" s="472">
        <f t="shared" si="10"/>
        <v>-2.3321459077119535E-14</v>
      </c>
      <c r="E187" s="472">
        <f t="shared" si="11"/>
        <v>2.3321459077119535E-14</v>
      </c>
      <c r="F187" s="470">
        <f t="shared" si="12"/>
        <v>-7.1083216850374844E-12</v>
      </c>
    </row>
    <row r="188" spans="1:6" x14ac:dyDescent="0.2">
      <c r="A188" s="496">
        <f t="shared" si="14"/>
        <v>49369</v>
      </c>
      <c r="B188" s="470">
        <f t="shared" si="13"/>
        <v>-7.1083216850374844E-12</v>
      </c>
      <c r="C188" s="472">
        <f>IF(ROUND(Tableau3626[[#This Row],[Solde début période]],2)&lt;=0,0,$D$2)</f>
        <v>0</v>
      </c>
      <c r="D188" s="472">
        <f t="shared" si="10"/>
        <v>-2.339822554658172E-14</v>
      </c>
      <c r="E188" s="472">
        <f t="shared" si="11"/>
        <v>2.339822554658172E-14</v>
      </c>
      <c r="F188" s="470">
        <f t="shared" si="12"/>
        <v>-7.1317199105840665E-12</v>
      </c>
    </row>
    <row r="189" spans="1:6" x14ac:dyDescent="0.2">
      <c r="A189" s="496">
        <f t="shared" si="14"/>
        <v>49400</v>
      </c>
      <c r="B189" s="470">
        <f t="shared" si="13"/>
        <v>-7.1317199105840665E-12</v>
      </c>
      <c r="C189" s="472">
        <f>IF(ROUND(Tableau3626[[#This Row],[Solde début période]],2)&lt;=0,0,$D$2)</f>
        <v>0</v>
      </c>
      <c r="D189" s="472">
        <f t="shared" si="10"/>
        <v>-2.3475244705672553E-14</v>
      </c>
      <c r="E189" s="472">
        <f t="shared" si="11"/>
        <v>2.3475244705672553E-14</v>
      </c>
      <c r="F189" s="470">
        <f t="shared" si="12"/>
        <v>-7.1551951552897389E-12</v>
      </c>
    </row>
    <row r="190" spans="1:6" x14ac:dyDescent="0.2">
      <c r="A190" s="496">
        <f t="shared" si="14"/>
        <v>49430</v>
      </c>
      <c r="B190" s="470">
        <f t="shared" si="13"/>
        <v>-7.1551951552897389E-12</v>
      </c>
      <c r="C190" s="472">
        <f>IF(ROUND(Tableau3626[[#This Row],[Solde début période]],2)&lt;=0,0,$D$2)</f>
        <v>0</v>
      </c>
      <c r="D190" s="472">
        <f t="shared" si="10"/>
        <v>-2.3552517386162057E-14</v>
      </c>
      <c r="E190" s="472">
        <f t="shared" si="11"/>
        <v>2.3552517386162057E-14</v>
      </c>
      <c r="F190" s="470">
        <f t="shared" si="12"/>
        <v>-7.1787476726759009E-12</v>
      </c>
    </row>
    <row r="191" spans="1:6" x14ac:dyDescent="0.2">
      <c r="A191" s="496">
        <f t="shared" si="14"/>
        <v>49461</v>
      </c>
      <c r="B191" s="470">
        <f t="shared" si="13"/>
        <v>-7.1787476726759009E-12</v>
      </c>
      <c r="C191" s="472">
        <f>IF(ROUND(Tableau3626[[#This Row],[Solde début période]],2)&lt;=0,0,$D$2)</f>
        <v>0</v>
      </c>
      <c r="D191" s="472">
        <f t="shared" si="10"/>
        <v>-2.3630044422558173E-14</v>
      </c>
      <c r="E191" s="472">
        <f t="shared" si="11"/>
        <v>2.3630044422558173E-14</v>
      </c>
      <c r="F191" s="470">
        <f t="shared" si="12"/>
        <v>-7.2023777170984591E-12</v>
      </c>
    </row>
    <row r="192" spans="1:6" x14ac:dyDescent="0.2">
      <c r="A192" s="496">
        <f t="shared" si="14"/>
        <v>49491</v>
      </c>
      <c r="B192" s="470">
        <f t="shared" si="13"/>
        <v>-7.2023777170984591E-12</v>
      </c>
      <c r="C192" s="472">
        <f>IF(ROUND(Tableau3626[[#This Row],[Solde début période]],2)&lt;=0,0,$D$2)</f>
        <v>0</v>
      </c>
      <c r="D192" s="472">
        <f t="shared" si="10"/>
        <v>-2.3707826652115762E-14</v>
      </c>
      <c r="E192" s="472">
        <f t="shared" si="11"/>
        <v>2.3707826652115762E-14</v>
      </c>
      <c r="F192" s="470">
        <f t="shared" si="12"/>
        <v>-7.2260855437505748E-12</v>
      </c>
    </row>
    <row r="193" spans="1:6" x14ac:dyDescent="0.2">
      <c r="A193" s="496">
        <f t="shared" si="14"/>
        <v>49522</v>
      </c>
      <c r="B193" s="470">
        <f t="shared" si="13"/>
        <v>-7.2260855437505748E-12</v>
      </c>
      <c r="C193" s="472">
        <f>IF(ROUND(Tableau3626[[#This Row],[Solde début période]],2)&lt;=0,0,$D$2)</f>
        <v>0</v>
      </c>
      <c r="D193" s="472">
        <f t="shared" si="10"/>
        <v>-2.3785864914845641E-14</v>
      </c>
      <c r="E193" s="472">
        <f t="shared" si="11"/>
        <v>2.3785864914845641E-14</v>
      </c>
      <c r="F193" s="470">
        <f t="shared" si="12"/>
        <v>-7.2498714086654206E-12</v>
      </c>
    </row>
    <row r="194" spans="1:6" x14ac:dyDescent="0.2">
      <c r="A194" s="496">
        <f t="shared" si="14"/>
        <v>49553</v>
      </c>
      <c r="B194" s="470">
        <f t="shared" si="13"/>
        <v>-7.2498714086654206E-12</v>
      </c>
      <c r="C194" s="472">
        <f>IF(ROUND(Tableau3626[[#This Row],[Solde début période]],2)&lt;=0,0,$D$2)</f>
        <v>0</v>
      </c>
      <c r="D194" s="472">
        <f t="shared" si="10"/>
        <v>-2.3864160053523677E-14</v>
      </c>
      <c r="E194" s="472">
        <f t="shared" si="11"/>
        <v>2.3864160053523677E-14</v>
      </c>
      <c r="F194" s="470">
        <f t="shared" si="12"/>
        <v>-7.2737355687189445E-12</v>
      </c>
    </row>
    <row r="195" spans="1:6" x14ac:dyDescent="0.2">
      <c r="A195" s="496">
        <f t="shared" si="14"/>
        <v>49583</v>
      </c>
      <c r="B195" s="470">
        <f t="shared" si="13"/>
        <v>-7.2737355687189445E-12</v>
      </c>
      <c r="C195" s="472">
        <f>IF(ROUND(Tableau3626[[#This Row],[Solde début période]],2)&lt;=0,0,$D$2)</f>
        <v>0</v>
      </c>
      <c r="D195" s="472">
        <f t="shared" si="10"/>
        <v>-2.3942712913699858E-14</v>
      </c>
      <c r="E195" s="472">
        <f t="shared" si="11"/>
        <v>2.3942712913699858E-14</v>
      </c>
      <c r="F195" s="470">
        <f t="shared" si="12"/>
        <v>-7.2976782816326442E-12</v>
      </c>
    </row>
    <row r="196" spans="1:6" x14ac:dyDescent="0.2">
      <c r="A196" s="496">
        <f t="shared" si="14"/>
        <v>49614</v>
      </c>
      <c r="B196" s="470">
        <f t="shared" si="13"/>
        <v>-7.2976782816326442E-12</v>
      </c>
      <c r="C196" s="472">
        <f>IF(ROUND(Tableau3626[[#This Row],[Solde début période]],2)&lt;=0,0,$D$2)</f>
        <v>0</v>
      </c>
      <c r="D196" s="472">
        <f t="shared" si="10"/>
        <v>-2.4021524343707455E-14</v>
      </c>
      <c r="E196" s="472">
        <f t="shared" si="11"/>
        <v>2.4021524343707455E-14</v>
      </c>
      <c r="F196" s="470">
        <f t="shared" si="12"/>
        <v>-7.3216998059763517E-12</v>
      </c>
    </row>
    <row r="197" spans="1:6" x14ac:dyDescent="0.2">
      <c r="A197" s="496">
        <f t="shared" si="14"/>
        <v>49644</v>
      </c>
      <c r="B197" s="470">
        <f t="shared" si="13"/>
        <v>-7.3216998059763517E-12</v>
      </c>
      <c r="C197" s="472">
        <f>IF(ROUND(Tableau3626[[#This Row],[Solde début période]],2)&lt;=0,0,$D$2)</f>
        <v>0</v>
      </c>
      <c r="D197" s="472">
        <f t="shared" si="10"/>
        <v>-2.4100595194672159E-14</v>
      </c>
      <c r="E197" s="472">
        <f t="shared" si="11"/>
        <v>2.4100595194672159E-14</v>
      </c>
      <c r="F197" s="470">
        <f t="shared" si="12"/>
        <v>-7.3458004011710243E-12</v>
      </c>
    </row>
    <row r="198" spans="1:6" x14ac:dyDescent="0.2">
      <c r="A198" s="496">
        <f t="shared" si="14"/>
        <v>49675</v>
      </c>
      <c r="B198" s="470">
        <f t="shared" si="13"/>
        <v>-7.3458004011710243E-12</v>
      </c>
      <c r="C198" s="472">
        <f>IF(ROUND(Tableau3626[[#This Row],[Solde début période]],2)&lt;=0,0,$D$2)</f>
        <v>0</v>
      </c>
      <c r="D198" s="472">
        <f t="shared" ref="D198:D261" si="15">B198*($B$2/12)</f>
        <v>-2.4179926320521287E-14</v>
      </c>
      <c r="E198" s="472">
        <f t="shared" ref="E198:E261" si="16">C198-D198</f>
        <v>2.4179926320521287E-14</v>
      </c>
      <c r="F198" s="470">
        <f t="shared" ref="F198:F261" si="17">B198-E198</f>
        <v>-7.3699803274915458E-12</v>
      </c>
    </row>
    <row r="199" spans="1:6" x14ac:dyDescent="0.2">
      <c r="A199" s="496">
        <f t="shared" si="14"/>
        <v>49706</v>
      </c>
      <c r="B199" s="470">
        <f t="shared" ref="B199:B262" si="18">F198</f>
        <v>-7.3699803274915458E-12</v>
      </c>
      <c r="C199" s="472">
        <f>IF(ROUND(Tableau3626[[#This Row],[Solde début période]],2)&lt;=0,0,$D$2)</f>
        <v>0</v>
      </c>
      <c r="D199" s="472">
        <f t="shared" si="15"/>
        <v>-2.4259518577993006E-14</v>
      </c>
      <c r="E199" s="472">
        <f t="shared" si="16"/>
        <v>2.4259518577993006E-14</v>
      </c>
      <c r="F199" s="470">
        <f t="shared" si="17"/>
        <v>-7.3942398460695396E-12</v>
      </c>
    </row>
    <row r="200" spans="1:6" x14ac:dyDescent="0.2">
      <c r="A200" s="496">
        <f t="shared" ref="A200:A263" si="19">EDATE(A199,1)</f>
        <v>49735</v>
      </c>
      <c r="B200" s="470">
        <f t="shared" si="18"/>
        <v>-7.3942398460695396E-12</v>
      </c>
      <c r="C200" s="472">
        <f>IF(ROUND(Tableau3626[[#This Row],[Solde début période]],2)&lt;=0,0,$D$2)</f>
        <v>0</v>
      </c>
      <c r="D200" s="472">
        <f t="shared" si="15"/>
        <v>-2.4339372826645569E-14</v>
      </c>
      <c r="E200" s="472">
        <f t="shared" si="16"/>
        <v>2.4339372826645569E-14</v>
      </c>
      <c r="F200" s="470">
        <f t="shared" si="17"/>
        <v>-7.4185792188961858E-12</v>
      </c>
    </row>
    <row r="201" spans="1:6" x14ac:dyDescent="0.2">
      <c r="A201" s="496">
        <f t="shared" si="19"/>
        <v>49766</v>
      </c>
      <c r="B201" s="470">
        <f t="shared" si="18"/>
        <v>-7.4185792188961858E-12</v>
      </c>
      <c r="C201" s="472">
        <f>IF(ROUND(Tableau3626[[#This Row],[Solde début période]],2)&lt;=0,0,$D$2)</f>
        <v>0</v>
      </c>
      <c r="D201" s="472">
        <f t="shared" si="15"/>
        <v>-2.4419489928866612E-14</v>
      </c>
      <c r="E201" s="472">
        <f t="shared" si="16"/>
        <v>2.4419489928866612E-14</v>
      </c>
      <c r="F201" s="470">
        <f t="shared" si="17"/>
        <v>-7.4429987088250524E-12</v>
      </c>
    </row>
    <row r="202" spans="1:6" x14ac:dyDescent="0.2">
      <c r="A202" s="496">
        <f t="shared" si="19"/>
        <v>49796</v>
      </c>
      <c r="B202" s="470">
        <f t="shared" si="18"/>
        <v>-7.4429987088250524E-12</v>
      </c>
      <c r="C202" s="472">
        <f>IF(ROUND(Tableau3626[[#This Row],[Solde début période]],2)&lt;=0,0,$D$2)</f>
        <v>0</v>
      </c>
      <c r="D202" s="472">
        <f t="shared" si="15"/>
        <v>-2.4499870749882465E-14</v>
      </c>
      <c r="E202" s="472">
        <f t="shared" si="16"/>
        <v>2.4499870749882465E-14</v>
      </c>
      <c r="F202" s="470">
        <f t="shared" si="17"/>
        <v>-7.4674985795749346E-12</v>
      </c>
    </row>
    <row r="203" spans="1:6" x14ac:dyDescent="0.2">
      <c r="A203" s="496">
        <f t="shared" si="19"/>
        <v>49827</v>
      </c>
      <c r="B203" s="470">
        <f t="shared" si="18"/>
        <v>-7.4674985795749346E-12</v>
      </c>
      <c r="C203" s="472">
        <f>IF(ROUND(Tableau3626[[#This Row],[Solde début période]],2)&lt;=0,0,$D$2)</f>
        <v>0</v>
      </c>
      <c r="D203" s="472">
        <f t="shared" si="15"/>
        <v>-2.4580516157767495E-14</v>
      </c>
      <c r="E203" s="472">
        <f t="shared" si="16"/>
        <v>2.4580516157767495E-14</v>
      </c>
      <c r="F203" s="470">
        <f t="shared" si="17"/>
        <v>-7.4920790957327025E-12</v>
      </c>
    </row>
    <row r="204" spans="1:6" x14ac:dyDescent="0.2">
      <c r="A204" s="496">
        <f t="shared" si="19"/>
        <v>49857</v>
      </c>
      <c r="B204" s="470">
        <f t="shared" si="18"/>
        <v>-7.4920790957327025E-12</v>
      </c>
      <c r="C204" s="472">
        <f>IF(ROUND(Tableau3626[[#This Row],[Solde début période]],2)&lt;=0,0,$D$2)</f>
        <v>0</v>
      </c>
      <c r="D204" s="472">
        <f t="shared" si="15"/>
        <v>-2.4661427023453479E-14</v>
      </c>
      <c r="E204" s="472">
        <f t="shared" si="16"/>
        <v>2.4661427023453479E-14</v>
      </c>
      <c r="F204" s="470">
        <f t="shared" si="17"/>
        <v>-7.5167405227561563E-12</v>
      </c>
    </row>
    <row r="205" spans="1:6" x14ac:dyDescent="0.2">
      <c r="A205" s="496">
        <f t="shared" si="19"/>
        <v>49888</v>
      </c>
      <c r="B205" s="470">
        <f t="shared" si="18"/>
        <v>-7.5167405227561563E-12</v>
      </c>
      <c r="C205" s="472">
        <f>IF(ROUND(Tableau3626[[#This Row],[Solde début période]],2)&lt;=0,0,$D$2)</f>
        <v>0</v>
      </c>
      <c r="D205" s="472">
        <f t="shared" si="15"/>
        <v>-2.4742604220739016E-14</v>
      </c>
      <c r="E205" s="472">
        <f t="shared" si="16"/>
        <v>2.4742604220739016E-14</v>
      </c>
      <c r="F205" s="470">
        <f t="shared" si="17"/>
        <v>-7.5414831269768951E-12</v>
      </c>
    </row>
    <row r="206" spans="1:6" x14ac:dyDescent="0.2">
      <c r="A206" s="496">
        <f t="shared" si="19"/>
        <v>49919</v>
      </c>
      <c r="B206" s="470">
        <f t="shared" si="18"/>
        <v>-7.5414831269768951E-12</v>
      </c>
      <c r="C206" s="472">
        <f>IF(ROUND(Tableau3626[[#This Row],[Solde début période]],2)&lt;=0,0,$D$2)</f>
        <v>0</v>
      </c>
      <c r="D206" s="472">
        <f t="shared" si="15"/>
        <v>-2.4824048626298946E-14</v>
      </c>
      <c r="E206" s="472">
        <f t="shared" si="16"/>
        <v>2.4824048626298946E-14</v>
      </c>
      <c r="F206" s="470">
        <f t="shared" si="17"/>
        <v>-7.5663071756031935E-12</v>
      </c>
    </row>
    <row r="207" spans="1:6" x14ac:dyDescent="0.2">
      <c r="A207" s="496">
        <f t="shared" si="19"/>
        <v>49949</v>
      </c>
      <c r="B207" s="470">
        <f t="shared" si="18"/>
        <v>-7.5663071756031935E-12</v>
      </c>
      <c r="C207" s="472">
        <f>IF(ROUND(Tableau3626[[#This Row],[Solde début période]],2)&lt;=0,0,$D$2)</f>
        <v>0</v>
      </c>
      <c r="D207" s="472">
        <f t="shared" si="15"/>
        <v>-2.4905761119693844E-14</v>
      </c>
      <c r="E207" s="472">
        <f t="shared" si="16"/>
        <v>2.4905761119693844E-14</v>
      </c>
      <c r="F207" s="470">
        <f t="shared" si="17"/>
        <v>-7.5912129367228872E-12</v>
      </c>
    </row>
    <row r="208" spans="1:6" x14ac:dyDescent="0.2">
      <c r="A208" s="496">
        <f t="shared" si="19"/>
        <v>49980</v>
      </c>
      <c r="B208" s="470">
        <f t="shared" si="18"/>
        <v>-7.5912129367228872E-12</v>
      </c>
      <c r="C208" s="472">
        <f>IF(ROUND(Tableau3626[[#This Row],[Solde début période]],2)&lt;=0,0,$D$2)</f>
        <v>0</v>
      </c>
      <c r="D208" s="472">
        <f t="shared" si="15"/>
        <v>-2.4987742583379504E-14</v>
      </c>
      <c r="E208" s="472">
        <f t="shared" si="16"/>
        <v>2.4987742583379504E-14</v>
      </c>
      <c r="F208" s="470">
        <f t="shared" si="17"/>
        <v>-7.6162006793062669E-12</v>
      </c>
    </row>
    <row r="209" spans="1:6" x14ac:dyDescent="0.2">
      <c r="A209" s="496">
        <f t="shared" si="19"/>
        <v>50010</v>
      </c>
      <c r="B209" s="470">
        <f t="shared" si="18"/>
        <v>-7.6162006793062669E-12</v>
      </c>
      <c r="C209" s="472">
        <f>IF(ROUND(Tableau3626[[#This Row],[Solde début période]],2)&lt;=0,0,$D$2)</f>
        <v>0</v>
      </c>
      <c r="D209" s="472">
        <f t="shared" si="15"/>
        <v>-2.5069993902716463E-14</v>
      </c>
      <c r="E209" s="472">
        <f t="shared" si="16"/>
        <v>2.5069993902716463E-14</v>
      </c>
      <c r="F209" s="470">
        <f t="shared" si="17"/>
        <v>-7.6412706732089841E-12</v>
      </c>
    </row>
    <row r="210" spans="1:6" x14ac:dyDescent="0.2">
      <c r="A210" s="496">
        <f t="shared" si="19"/>
        <v>50041</v>
      </c>
      <c r="B210" s="470">
        <f t="shared" si="18"/>
        <v>-7.6412706732089841E-12</v>
      </c>
      <c r="C210" s="472">
        <f>IF(ROUND(Tableau3626[[#This Row],[Solde début période]],2)&lt;=0,0,$D$2)</f>
        <v>0</v>
      </c>
      <c r="D210" s="472">
        <f t="shared" si="15"/>
        <v>-2.5152515965979572E-14</v>
      </c>
      <c r="E210" s="472">
        <f t="shared" si="16"/>
        <v>2.5152515965979572E-14</v>
      </c>
      <c r="F210" s="470">
        <f t="shared" si="17"/>
        <v>-7.666423189174963E-12</v>
      </c>
    </row>
    <row r="211" spans="1:6" x14ac:dyDescent="0.2">
      <c r="A211" s="496">
        <f t="shared" si="19"/>
        <v>50072</v>
      </c>
      <c r="B211" s="470">
        <f t="shared" si="18"/>
        <v>-7.666423189174963E-12</v>
      </c>
      <c r="C211" s="472">
        <f>IF(ROUND(Tableau3626[[#This Row],[Solde début période]],2)&lt;=0,0,$D$2)</f>
        <v>0</v>
      </c>
      <c r="D211" s="472">
        <f t="shared" si="15"/>
        <v>-2.5235309664367585E-14</v>
      </c>
      <c r="E211" s="472">
        <f t="shared" si="16"/>
        <v>2.5235309664367585E-14</v>
      </c>
      <c r="F211" s="470">
        <f t="shared" si="17"/>
        <v>-7.6916584988393306E-12</v>
      </c>
    </row>
    <row r="212" spans="1:6" x14ac:dyDescent="0.2">
      <c r="A212" s="496">
        <f t="shared" si="19"/>
        <v>50100</v>
      </c>
      <c r="B212" s="470">
        <f t="shared" si="18"/>
        <v>-7.6916584988393306E-12</v>
      </c>
      <c r="C212" s="472">
        <f>IF(ROUND(Tableau3626[[#This Row],[Solde début période]],2)&lt;=0,0,$D$2)</f>
        <v>0</v>
      </c>
      <c r="D212" s="472">
        <f t="shared" si="15"/>
        <v>-2.5318375892012798E-14</v>
      </c>
      <c r="E212" s="472">
        <f t="shared" si="16"/>
        <v>2.5318375892012798E-14</v>
      </c>
      <c r="F212" s="470">
        <f t="shared" si="17"/>
        <v>-7.7169768747313431E-12</v>
      </c>
    </row>
    <row r="213" spans="1:6" x14ac:dyDescent="0.2">
      <c r="A213" s="496">
        <f t="shared" si="19"/>
        <v>50131</v>
      </c>
      <c r="B213" s="470">
        <f t="shared" si="18"/>
        <v>-7.7169768747313431E-12</v>
      </c>
      <c r="C213" s="472">
        <f>IF(ROUND(Tableau3626[[#This Row],[Solde début période]],2)&lt;=0,0,$D$2)</f>
        <v>0</v>
      </c>
      <c r="D213" s="472">
        <f t="shared" si="15"/>
        <v>-2.5401715545990671E-14</v>
      </c>
      <c r="E213" s="472">
        <f t="shared" si="16"/>
        <v>2.5401715545990671E-14</v>
      </c>
      <c r="F213" s="470">
        <f t="shared" si="17"/>
        <v>-7.742378590277334E-12</v>
      </c>
    </row>
    <row r="214" spans="1:6" x14ac:dyDescent="0.2">
      <c r="A214" s="496">
        <f t="shared" si="19"/>
        <v>50161</v>
      </c>
      <c r="B214" s="470">
        <f t="shared" si="18"/>
        <v>-7.742378590277334E-12</v>
      </c>
      <c r="C214" s="472">
        <f>IF(ROUND(Tableau3626[[#This Row],[Solde début période]],2)&lt;=0,0,$D$2)</f>
        <v>0</v>
      </c>
      <c r="D214" s="472">
        <f t="shared" si="15"/>
        <v>-2.5485329526329557E-14</v>
      </c>
      <c r="E214" s="472">
        <f t="shared" si="16"/>
        <v>2.5485329526329557E-14</v>
      </c>
      <c r="F214" s="470">
        <f t="shared" si="17"/>
        <v>-7.7678639198036641E-12</v>
      </c>
    </row>
    <row r="215" spans="1:6" x14ac:dyDescent="0.2">
      <c r="A215" s="496">
        <f t="shared" si="19"/>
        <v>50192</v>
      </c>
      <c r="B215" s="470">
        <f t="shared" si="18"/>
        <v>-7.7678639198036641E-12</v>
      </c>
      <c r="C215" s="472">
        <f>IF(ROUND(Tableau3626[[#This Row],[Solde début période]],2)&lt;=0,0,$D$2)</f>
        <v>0</v>
      </c>
      <c r="D215" s="472">
        <f t="shared" si="15"/>
        <v>-2.5569218736020396E-14</v>
      </c>
      <c r="E215" s="472">
        <f t="shared" si="16"/>
        <v>2.5569218736020396E-14</v>
      </c>
      <c r="F215" s="470">
        <f t="shared" si="17"/>
        <v>-7.7934331385396849E-12</v>
      </c>
    </row>
    <row r="216" spans="1:6" x14ac:dyDescent="0.2">
      <c r="A216" s="496">
        <f t="shared" si="19"/>
        <v>50222</v>
      </c>
      <c r="B216" s="470">
        <f t="shared" si="18"/>
        <v>-7.7934331385396849E-12</v>
      </c>
      <c r="C216" s="472">
        <f>IF(ROUND(Tableau3626[[#This Row],[Solde début période]],2)&lt;=0,0,$D$2)</f>
        <v>0</v>
      </c>
      <c r="D216" s="472">
        <f t="shared" si="15"/>
        <v>-2.5653384081026462E-14</v>
      </c>
      <c r="E216" s="472">
        <f t="shared" si="16"/>
        <v>2.5653384081026462E-14</v>
      </c>
      <c r="F216" s="470">
        <f t="shared" si="17"/>
        <v>-7.8190865226207107E-12</v>
      </c>
    </row>
    <row r="217" spans="1:6" x14ac:dyDescent="0.2">
      <c r="A217" s="496">
        <f t="shared" si="19"/>
        <v>50253</v>
      </c>
      <c r="B217" s="470">
        <f t="shared" si="18"/>
        <v>-7.8190865226207107E-12</v>
      </c>
      <c r="C217" s="472">
        <f>IF(ROUND(Tableau3626[[#This Row],[Solde début période]],2)&lt;=0,0,$D$2)</f>
        <v>0</v>
      </c>
      <c r="D217" s="472">
        <f t="shared" si="15"/>
        <v>-2.5737826470293173E-14</v>
      </c>
      <c r="E217" s="472">
        <f t="shared" si="16"/>
        <v>2.5737826470293173E-14</v>
      </c>
      <c r="F217" s="470">
        <f t="shared" si="17"/>
        <v>-7.8448243490910046E-12</v>
      </c>
    </row>
    <row r="218" spans="1:6" x14ac:dyDescent="0.2">
      <c r="A218" s="496">
        <f t="shared" si="19"/>
        <v>50284</v>
      </c>
      <c r="B218" s="470">
        <f t="shared" si="18"/>
        <v>-7.8448243490910046E-12</v>
      </c>
      <c r="C218" s="472">
        <f>IF(ROUND(Tableau3626[[#This Row],[Solde début période]],2)&lt;=0,0,$D$2)</f>
        <v>0</v>
      </c>
      <c r="D218" s="472">
        <f t="shared" si="15"/>
        <v>-2.5822546815757891E-14</v>
      </c>
      <c r="E218" s="472">
        <f t="shared" si="16"/>
        <v>2.5822546815757891E-14</v>
      </c>
      <c r="F218" s="470">
        <f t="shared" si="17"/>
        <v>-7.8706468959067626E-12</v>
      </c>
    </row>
    <row r="219" spans="1:6" x14ac:dyDescent="0.2">
      <c r="A219" s="496">
        <f t="shared" si="19"/>
        <v>50314</v>
      </c>
      <c r="B219" s="470">
        <f t="shared" si="18"/>
        <v>-7.8706468959067626E-12</v>
      </c>
      <c r="C219" s="472">
        <f>IF(ROUND(Tableau3626[[#This Row],[Solde début période]],2)&lt;=0,0,$D$2)</f>
        <v>0</v>
      </c>
      <c r="D219" s="472">
        <f t="shared" si="15"/>
        <v>-2.5907546032359759E-14</v>
      </c>
      <c r="E219" s="472">
        <f t="shared" si="16"/>
        <v>2.5907546032359759E-14</v>
      </c>
      <c r="F219" s="470">
        <f t="shared" si="17"/>
        <v>-7.896554441939123E-12</v>
      </c>
    </row>
    <row r="220" spans="1:6" x14ac:dyDescent="0.2">
      <c r="A220" s="496">
        <f t="shared" si="19"/>
        <v>50345</v>
      </c>
      <c r="B220" s="470">
        <f t="shared" si="18"/>
        <v>-7.896554441939123E-12</v>
      </c>
      <c r="C220" s="472">
        <f>IF(ROUND(Tableau3626[[#This Row],[Solde début période]],2)&lt;=0,0,$D$2)</f>
        <v>0</v>
      </c>
      <c r="D220" s="472">
        <f t="shared" si="15"/>
        <v>-2.5992825038049615E-14</v>
      </c>
      <c r="E220" s="472">
        <f t="shared" si="16"/>
        <v>2.5992825038049615E-14</v>
      </c>
      <c r="F220" s="470">
        <f t="shared" si="17"/>
        <v>-7.9225472669771733E-12</v>
      </c>
    </row>
    <row r="221" spans="1:6" x14ac:dyDescent="0.2">
      <c r="A221" s="496">
        <f t="shared" si="19"/>
        <v>50375</v>
      </c>
      <c r="B221" s="470">
        <f t="shared" si="18"/>
        <v>-7.9225472669771733E-12</v>
      </c>
      <c r="C221" s="472">
        <f>IF(ROUND(Tableau3626[[#This Row],[Solde début période]],2)&lt;=0,0,$D$2)</f>
        <v>0</v>
      </c>
      <c r="D221" s="472">
        <f t="shared" si="15"/>
        <v>-2.6078384753799861E-14</v>
      </c>
      <c r="E221" s="472">
        <f t="shared" si="16"/>
        <v>2.6078384753799861E-14</v>
      </c>
      <c r="F221" s="470">
        <f t="shared" si="17"/>
        <v>-7.9486256517309729E-12</v>
      </c>
    </row>
    <row r="222" spans="1:6" x14ac:dyDescent="0.2">
      <c r="A222" s="496">
        <f t="shared" si="19"/>
        <v>50406</v>
      </c>
      <c r="B222" s="470">
        <f t="shared" si="18"/>
        <v>-7.9486256517309729E-12</v>
      </c>
      <c r="C222" s="472">
        <f>IF(ROUND(Tableau3626[[#This Row],[Solde début période]],2)&lt;=0,0,$D$2)</f>
        <v>0</v>
      </c>
      <c r="D222" s="472">
        <f t="shared" si="15"/>
        <v>-2.6164226103614452E-14</v>
      </c>
      <c r="E222" s="472">
        <f t="shared" si="16"/>
        <v>2.6164226103614452E-14</v>
      </c>
      <c r="F222" s="470">
        <f t="shared" si="17"/>
        <v>-7.9747898778345873E-12</v>
      </c>
    </row>
    <row r="223" spans="1:6" x14ac:dyDescent="0.2">
      <c r="A223" s="496">
        <f t="shared" si="19"/>
        <v>50437</v>
      </c>
      <c r="B223" s="470">
        <f t="shared" si="18"/>
        <v>-7.9747898778345873E-12</v>
      </c>
      <c r="C223" s="472">
        <f>IF(ROUND(Tableau3626[[#This Row],[Solde début période]],2)&lt;=0,0,$D$2)</f>
        <v>0</v>
      </c>
      <c r="D223" s="472">
        <f t="shared" si="15"/>
        <v>-2.625035001453885E-14</v>
      </c>
      <c r="E223" s="472">
        <f t="shared" si="16"/>
        <v>2.625035001453885E-14</v>
      </c>
      <c r="F223" s="470">
        <f t="shared" si="17"/>
        <v>-8.0010402278491268E-12</v>
      </c>
    </row>
    <row r="224" spans="1:6" x14ac:dyDescent="0.2">
      <c r="A224" s="496">
        <f t="shared" si="19"/>
        <v>50465</v>
      </c>
      <c r="B224" s="470">
        <f t="shared" si="18"/>
        <v>-8.0010402278491268E-12</v>
      </c>
      <c r="C224" s="472">
        <f>IF(ROUND(Tableau3626[[#This Row],[Solde début période]],2)&lt;=0,0,$D$2)</f>
        <v>0</v>
      </c>
      <c r="D224" s="472">
        <f t="shared" si="15"/>
        <v>-2.6336757416670043E-14</v>
      </c>
      <c r="E224" s="472">
        <f t="shared" si="16"/>
        <v>2.6336757416670043E-14</v>
      </c>
      <c r="F224" s="470">
        <f t="shared" si="17"/>
        <v>-8.0273769852657968E-12</v>
      </c>
    </row>
    <row r="225" spans="1:6" x14ac:dyDescent="0.2">
      <c r="A225" s="496">
        <f t="shared" si="19"/>
        <v>50496</v>
      </c>
      <c r="B225" s="470">
        <f t="shared" si="18"/>
        <v>-8.0273769852657968E-12</v>
      </c>
      <c r="C225" s="472">
        <f>IF(ROUND(Tableau3626[[#This Row],[Solde début période]],2)&lt;=0,0,$D$2)</f>
        <v>0</v>
      </c>
      <c r="D225" s="472">
        <f t="shared" si="15"/>
        <v>-2.6423449243166582E-14</v>
      </c>
      <c r="E225" s="472">
        <f t="shared" si="16"/>
        <v>2.6423449243166582E-14</v>
      </c>
      <c r="F225" s="470">
        <f t="shared" si="17"/>
        <v>-8.0538004345089627E-12</v>
      </c>
    </row>
    <row r="226" spans="1:6" x14ac:dyDescent="0.2">
      <c r="A226" s="496">
        <f t="shared" si="19"/>
        <v>50526</v>
      </c>
      <c r="B226" s="470">
        <f t="shared" si="18"/>
        <v>-8.0538004345089627E-12</v>
      </c>
      <c r="C226" s="472">
        <f>IF(ROUND(Tableau3626[[#This Row],[Solde début période]],2)&lt;=0,0,$D$2)</f>
        <v>0</v>
      </c>
      <c r="D226" s="472">
        <f t="shared" si="15"/>
        <v>-2.651042643025867E-14</v>
      </c>
      <c r="E226" s="472">
        <f t="shared" si="16"/>
        <v>2.651042643025867E-14</v>
      </c>
      <c r="F226" s="470">
        <f t="shared" si="17"/>
        <v>-8.0803108609392209E-12</v>
      </c>
    </row>
    <row r="227" spans="1:6" x14ac:dyDescent="0.2">
      <c r="A227" s="496">
        <f t="shared" si="19"/>
        <v>50557</v>
      </c>
      <c r="B227" s="470">
        <f t="shared" si="18"/>
        <v>-8.0803108609392209E-12</v>
      </c>
      <c r="C227" s="472">
        <f>IF(ROUND(Tableau3626[[#This Row],[Solde début période]],2)&lt;=0,0,$D$2)</f>
        <v>0</v>
      </c>
      <c r="D227" s="472">
        <f t="shared" si="15"/>
        <v>-2.6597689917258267E-14</v>
      </c>
      <c r="E227" s="472">
        <f t="shared" si="16"/>
        <v>2.6597689917258267E-14</v>
      </c>
      <c r="F227" s="470">
        <f t="shared" si="17"/>
        <v>-8.1069085508564799E-12</v>
      </c>
    </row>
    <row r="228" spans="1:6" x14ac:dyDescent="0.2">
      <c r="A228" s="496">
        <f t="shared" si="19"/>
        <v>50587</v>
      </c>
      <c r="B228" s="470">
        <f t="shared" si="18"/>
        <v>-8.1069085508564799E-12</v>
      </c>
      <c r="C228" s="472">
        <f>IF(ROUND(Tableau3626[[#This Row],[Solde début période]],2)&lt;=0,0,$D$2)</f>
        <v>0</v>
      </c>
      <c r="D228" s="472">
        <f t="shared" si="15"/>
        <v>-2.6685240646569245E-14</v>
      </c>
      <c r="E228" s="472">
        <f t="shared" si="16"/>
        <v>2.6685240646569245E-14</v>
      </c>
      <c r="F228" s="470">
        <f t="shared" si="17"/>
        <v>-8.1335937915030493E-12</v>
      </c>
    </row>
    <row r="229" spans="1:6" x14ac:dyDescent="0.2">
      <c r="A229" s="496">
        <f t="shared" si="19"/>
        <v>50618</v>
      </c>
      <c r="B229" s="470">
        <f t="shared" si="18"/>
        <v>-8.1335937915030493E-12</v>
      </c>
      <c r="C229" s="472">
        <f>IF(ROUND(Tableau3626[[#This Row],[Solde début période]],2)&lt;=0,0,$D$2)</f>
        <v>0</v>
      </c>
      <c r="D229" s="472">
        <f t="shared" si="15"/>
        <v>-2.6773079563697536E-14</v>
      </c>
      <c r="E229" s="472">
        <f t="shared" si="16"/>
        <v>2.6773079563697536E-14</v>
      </c>
      <c r="F229" s="470">
        <f t="shared" si="17"/>
        <v>-8.1603668710667466E-12</v>
      </c>
    </row>
    <row r="230" spans="1:6" x14ac:dyDescent="0.2">
      <c r="A230" s="496">
        <f t="shared" si="19"/>
        <v>50649</v>
      </c>
      <c r="B230" s="470">
        <f t="shared" si="18"/>
        <v>-8.1603668710667466E-12</v>
      </c>
      <c r="C230" s="472">
        <f>IF(ROUND(Tableau3626[[#This Row],[Solde début période]],2)&lt;=0,0,$D$2)</f>
        <v>0</v>
      </c>
      <c r="D230" s="472">
        <f t="shared" si="15"/>
        <v>-2.6861207617261374E-14</v>
      </c>
      <c r="E230" s="472">
        <f t="shared" si="16"/>
        <v>2.6861207617261374E-14</v>
      </c>
      <c r="F230" s="470">
        <f t="shared" si="17"/>
        <v>-8.1872280786840085E-12</v>
      </c>
    </row>
    <row r="231" spans="1:6" x14ac:dyDescent="0.2">
      <c r="A231" s="496">
        <f t="shared" si="19"/>
        <v>50679</v>
      </c>
      <c r="B231" s="470">
        <f t="shared" si="18"/>
        <v>-8.1872280786840085E-12</v>
      </c>
      <c r="C231" s="472">
        <f>IF(ROUND(Tableau3626[[#This Row],[Solde début période]],2)&lt;=0,0,$D$2)</f>
        <v>0</v>
      </c>
      <c r="D231" s="472">
        <f t="shared" si="15"/>
        <v>-2.6949625759001529E-14</v>
      </c>
      <c r="E231" s="472">
        <f t="shared" si="16"/>
        <v>2.6949625759001529E-14</v>
      </c>
      <c r="F231" s="470">
        <f t="shared" si="17"/>
        <v>-8.2141777044430095E-12</v>
      </c>
    </row>
    <row r="232" spans="1:6" x14ac:dyDescent="0.2">
      <c r="A232" s="496">
        <f t="shared" si="19"/>
        <v>50710</v>
      </c>
      <c r="B232" s="470">
        <f t="shared" si="18"/>
        <v>-8.2141777044430095E-12</v>
      </c>
      <c r="C232" s="472">
        <f>IF(ROUND(Tableau3626[[#This Row],[Solde début période]],2)&lt;=0,0,$D$2)</f>
        <v>0</v>
      </c>
      <c r="D232" s="472">
        <f t="shared" si="15"/>
        <v>-2.7038334943791572E-14</v>
      </c>
      <c r="E232" s="472">
        <f t="shared" si="16"/>
        <v>2.7038334943791572E-14</v>
      </c>
      <c r="F232" s="470">
        <f t="shared" si="17"/>
        <v>-8.2412160393868006E-12</v>
      </c>
    </row>
    <row r="233" spans="1:6" x14ac:dyDescent="0.2">
      <c r="A233" s="496">
        <f t="shared" si="19"/>
        <v>50740</v>
      </c>
      <c r="B233" s="470">
        <f t="shared" si="18"/>
        <v>-8.2412160393868006E-12</v>
      </c>
      <c r="C233" s="472">
        <f>IF(ROUND(Tableau3626[[#This Row],[Solde début période]],2)&lt;=0,0,$D$2)</f>
        <v>0</v>
      </c>
      <c r="D233" s="472">
        <f t="shared" si="15"/>
        <v>-2.712733612964822E-14</v>
      </c>
      <c r="E233" s="472">
        <f t="shared" si="16"/>
        <v>2.712733612964822E-14</v>
      </c>
      <c r="F233" s="470">
        <f t="shared" si="17"/>
        <v>-8.2683433755164485E-12</v>
      </c>
    </row>
    <row r="234" spans="1:6" x14ac:dyDescent="0.2">
      <c r="A234" s="496">
        <f t="shared" si="19"/>
        <v>50771</v>
      </c>
      <c r="B234" s="470">
        <f t="shared" si="18"/>
        <v>-8.2683433755164485E-12</v>
      </c>
      <c r="C234" s="472">
        <f>IF(ROUND(Tableau3626[[#This Row],[Solde début période]],2)&lt;=0,0,$D$2)</f>
        <v>0</v>
      </c>
      <c r="D234" s="472">
        <f t="shared" si="15"/>
        <v>-2.7216630277741643E-14</v>
      </c>
      <c r="E234" s="472">
        <f t="shared" si="16"/>
        <v>2.7216630277741643E-14</v>
      </c>
      <c r="F234" s="470">
        <f t="shared" si="17"/>
        <v>-8.2955600057941908E-12</v>
      </c>
    </row>
    <row r="235" spans="1:6" x14ac:dyDescent="0.2">
      <c r="A235" s="496">
        <f t="shared" si="19"/>
        <v>50802</v>
      </c>
      <c r="B235" s="470">
        <f t="shared" si="18"/>
        <v>-8.2955600057941908E-12</v>
      </c>
      <c r="C235" s="472">
        <f>IF(ROUND(Tableau3626[[#This Row],[Solde début période]],2)&lt;=0,0,$D$2)</f>
        <v>0</v>
      </c>
      <c r="D235" s="472">
        <f t="shared" si="15"/>
        <v>-2.7306218352405878E-14</v>
      </c>
      <c r="E235" s="472">
        <f t="shared" si="16"/>
        <v>2.7306218352405878E-14</v>
      </c>
      <c r="F235" s="470">
        <f t="shared" si="17"/>
        <v>-8.3228662241465963E-12</v>
      </c>
    </row>
    <row r="236" spans="1:6" x14ac:dyDescent="0.2">
      <c r="A236" s="496">
        <f t="shared" si="19"/>
        <v>50830</v>
      </c>
      <c r="B236" s="470">
        <f t="shared" si="18"/>
        <v>-8.3228662241465963E-12</v>
      </c>
      <c r="C236" s="472">
        <f>IF(ROUND(Tableau3626[[#This Row],[Solde début période]],2)&lt;=0,0,$D$2)</f>
        <v>0</v>
      </c>
      <c r="D236" s="472">
        <f t="shared" si="15"/>
        <v>-2.7396101321149213E-14</v>
      </c>
      <c r="E236" s="472">
        <f t="shared" si="16"/>
        <v>2.7396101321149213E-14</v>
      </c>
      <c r="F236" s="470">
        <f t="shared" si="17"/>
        <v>-8.3502623254677457E-12</v>
      </c>
    </row>
    <row r="237" spans="1:6" x14ac:dyDescent="0.2">
      <c r="A237" s="496">
        <f t="shared" si="19"/>
        <v>50861</v>
      </c>
      <c r="B237" s="470">
        <f t="shared" si="18"/>
        <v>-8.3502623254677457E-12</v>
      </c>
      <c r="C237" s="472">
        <f>IF(ROUND(Tableau3626[[#This Row],[Solde début période]],2)&lt;=0,0,$D$2)</f>
        <v>0</v>
      </c>
      <c r="D237" s="472">
        <f t="shared" si="15"/>
        <v>-2.7486280154664664E-14</v>
      </c>
      <c r="E237" s="472">
        <f t="shared" si="16"/>
        <v>2.7486280154664664E-14</v>
      </c>
      <c r="F237" s="470">
        <f t="shared" si="17"/>
        <v>-8.37774860562241E-12</v>
      </c>
    </row>
    <row r="238" spans="1:6" x14ac:dyDescent="0.2">
      <c r="A238" s="496">
        <f t="shared" si="19"/>
        <v>50891</v>
      </c>
      <c r="B238" s="470">
        <f t="shared" si="18"/>
        <v>-8.37774860562241E-12</v>
      </c>
      <c r="C238" s="472">
        <f>IF(ROUND(Tableau3626[[#This Row],[Solde début période]],2)&lt;=0,0,$D$2)</f>
        <v>0</v>
      </c>
      <c r="D238" s="472">
        <f t="shared" si="15"/>
        <v>-2.7576755826840432E-14</v>
      </c>
      <c r="E238" s="472">
        <f t="shared" si="16"/>
        <v>2.7576755826840432E-14</v>
      </c>
      <c r="F238" s="470">
        <f t="shared" si="17"/>
        <v>-8.4053253614492502E-12</v>
      </c>
    </row>
    <row r="239" spans="1:6" x14ac:dyDescent="0.2">
      <c r="A239" s="496">
        <f t="shared" si="19"/>
        <v>50922</v>
      </c>
      <c r="B239" s="470">
        <f t="shared" si="18"/>
        <v>-8.4053253614492502E-12</v>
      </c>
      <c r="C239" s="472">
        <f>IF(ROUND(Tableau3626[[#This Row],[Solde début période]],2)&lt;=0,0,$D$2)</f>
        <v>0</v>
      </c>
      <c r="D239" s="472">
        <f t="shared" si="15"/>
        <v>-2.7667529314770449E-14</v>
      </c>
      <c r="E239" s="472">
        <f t="shared" si="16"/>
        <v>2.7667529314770449E-14</v>
      </c>
      <c r="F239" s="470">
        <f t="shared" si="17"/>
        <v>-8.4329928907640204E-12</v>
      </c>
    </row>
    <row r="240" spans="1:6" x14ac:dyDescent="0.2">
      <c r="A240" s="496">
        <f t="shared" si="19"/>
        <v>50952</v>
      </c>
      <c r="B240" s="470">
        <f t="shared" si="18"/>
        <v>-8.4329928907640204E-12</v>
      </c>
      <c r="C240" s="472">
        <f>IF(ROUND(Tableau3626[[#This Row],[Solde début période]],2)&lt;=0,0,$D$2)</f>
        <v>0</v>
      </c>
      <c r="D240" s="472">
        <f t="shared" si="15"/>
        <v>-2.7758601598764902E-14</v>
      </c>
      <c r="E240" s="472">
        <f t="shared" si="16"/>
        <v>2.7758601598764902E-14</v>
      </c>
      <c r="F240" s="470">
        <f t="shared" si="17"/>
        <v>-8.4607514923627851E-12</v>
      </c>
    </row>
    <row r="241" spans="1:6" x14ac:dyDescent="0.2">
      <c r="A241" s="496">
        <f t="shared" si="19"/>
        <v>50983</v>
      </c>
      <c r="B241" s="470">
        <f t="shared" si="18"/>
        <v>-8.4607514923627851E-12</v>
      </c>
      <c r="C241" s="472">
        <f>IF(ROUND(Tableau3626[[#This Row],[Solde début période]],2)&lt;=0,0,$D$2)</f>
        <v>0</v>
      </c>
      <c r="D241" s="472">
        <f t="shared" si="15"/>
        <v>-2.7849973662360834E-14</v>
      </c>
      <c r="E241" s="472">
        <f t="shared" si="16"/>
        <v>2.7849973662360834E-14</v>
      </c>
      <c r="F241" s="470">
        <f t="shared" si="17"/>
        <v>-8.4886014660251461E-12</v>
      </c>
    </row>
    <row r="242" spans="1:6" x14ac:dyDescent="0.2">
      <c r="A242" s="496">
        <f t="shared" si="19"/>
        <v>51014</v>
      </c>
      <c r="B242" s="470">
        <f t="shared" si="18"/>
        <v>-8.4886014660251461E-12</v>
      </c>
      <c r="C242" s="472">
        <f>IF(ROUND(Tableau3626[[#This Row],[Solde début période]],2)&lt;=0,0,$D$2)</f>
        <v>0</v>
      </c>
      <c r="D242" s="472">
        <f t="shared" si="15"/>
        <v>-2.7941646492332773E-14</v>
      </c>
      <c r="E242" s="472">
        <f t="shared" si="16"/>
        <v>2.7941646492332773E-14</v>
      </c>
      <c r="F242" s="470">
        <f t="shared" si="17"/>
        <v>-8.5165431125174784E-12</v>
      </c>
    </row>
    <row r="243" spans="1:6" x14ac:dyDescent="0.2">
      <c r="A243" s="496">
        <f t="shared" si="19"/>
        <v>51044</v>
      </c>
      <c r="B243" s="470">
        <f t="shared" si="18"/>
        <v>-8.5165431125174784E-12</v>
      </c>
      <c r="C243" s="472">
        <f>IF(ROUND(Tableau3626[[#This Row],[Solde début période]],2)&lt;=0,0,$D$2)</f>
        <v>0</v>
      </c>
      <c r="D243" s="472">
        <f t="shared" si="15"/>
        <v>-2.8033621078703368E-14</v>
      </c>
      <c r="E243" s="472">
        <f t="shared" si="16"/>
        <v>2.8033621078703368E-14</v>
      </c>
      <c r="F243" s="470">
        <f t="shared" si="17"/>
        <v>-8.5445767335961822E-12</v>
      </c>
    </row>
    <row r="244" spans="1:6" x14ac:dyDescent="0.2">
      <c r="A244" s="496">
        <f t="shared" si="19"/>
        <v>51075</v>
      </c>
      <c r="B244" s="470">
        <f t="shared" si="18"/>
        <v>-8.5445767335961822E-12</v>
      </c>
      <c r="C244" s="472">
        <f>IF(ROUND(Tableau3626[[#This Row],[Solde début période]],2)&lt;=0,0,$D$2)</f>
        <v>0</v>
      </c>
      <c r="D244" s="472">
        <f t="shared" si="15"/>
        <v>-2.8125898414754099E-14</v>
      </c>
      <c r="E244" s="472">
        <f t="shared" si="16"/>
        <v>2.8125898414754099E-14</v>
      </c>
      <c r="F244" s="470">
        <f t="shared" si="17"/>
        <v>-8.5727026320109368E-12</v>
      </c>
    </row>
    <row r="245" spans="1:6" x14ac:dyDescent="0.2">
      <c r="A245" s="496">
        <f t="shared" si="19"/>
        <v>51105</v>
      </c>
      <c r="B245" s="470">
        <f t="shared" si="18"/>
        <v>-8.5727026320109368E-12</v>
      </c>
      <c r="C245" s="472">
        <f>IF(ROUND(Tableau3626[[#This Row],[Solde début période]],2)&lt;=0,0,$D$2)</f>
        <v>0</v>
      </c>
      <c r="D245" s="472">
        <f t="shared" si="15"/>
        <v>-2.8218479497036001E-14</v>
      </c>
      <c r="E245" s="472">
        <f t="shared" si="16"/>
        <v>2.8218479497036001E-14</v>
      </c>
      <c r="F245" s="470">
        <f t="shared" si="17"/>
        <v>-8.6009211115079725E-12</v>
      </c>
    </row>
    <row r="246" spans="1:6" x14ac:dyDescent="0.2">
      <c r="A246" s="496">
        <f t="shared" si="19"/>
        <v>51136</v>
      </c>
      <c r="B246" s="470">
        <f t="shared" si="18"/>
        <v>-8.6009211115079725E-12</v>
      </c>
      <c r="C246" s="472">
        <f>IF(ROUND(Tableau3626[[#This Row],[Solde début période]],2)&lt;=0,0,$D$2)</f>
        <v>0</v>
      </c>
      <c r="D246" s="472">
        <f t="shared" si="15"/>
        <v>-2.8311365325380408E-14</v>
      </c>
      <c r="E246" s="472">
        <f t="shared" si="16"/>
        <v>2.8311365325380408E-14</v>
      </c>
      <c r="F246" s="470">
        <f t="shared" si="17"/>
        <v>-8.6292324768333527E-12</v>
      </c>
    </row>
    <row r="247" spans="1:6" x14ac:dyDescent="0.2">
      <c r="A247" s="496">
        <f t="shared" si="19"/>
        <v>51167</v>
      </c>
      <c r="B247" s="470">
        <f t="shared" si="18"/>
        <v>-8.6292324768333527E-12</v>
      </c>
      <c r="C247" s="472">
        <f>IF(ROUND(Tableau3626[[#This Row],[Solde début période]],2)&lt;=0,0,$D$2)</f>
        <v>0</v>
      </c>
      <c r="D247" s="472">
        <f t="shared" si="15"/>
        <v>-2.8404556902909787E-14</v>
      </c>
      <c r="E247" s="472">
        <f t="shared" si="16"/>
        <v>2.8404556902909787E-14</v>
      </c>
      <c r="F247" s="470">
        <f t="shared" si="17"/>
        <v>-8.6576370337362625E-12</v>
      </c>
    </row>
    <row r="248" spans="1:6" x14ac:dyDescent="0.2">
      <c r="A248" s="496">
        <f t="shared" si="19"/>
        <v>51196</v>
      </c>
      <c r="B248" s="470">
        <f t="shared" si="18"/>
        <v>-8.6576370337362625E-12</v>
      </c>
      <c r="C248" s="472">
        <f>IF(ROUND(Tableau3626[[#This Row],[Solde début période]],2)&lt;=0,0,$D$2)</f>
        <v>0</v>
      </c>
      <c r="D248" s="472">
        <f t="shared" si="15"/>
        <v>-2.8498055236048534E-14</v>
      </c>
      <c r="E248" s="472">
        <f t="shared" si="16"/>
        <v>2.8498055236048534E-14</v>
      </c>
      <c r="F248" s="470">
        <f t="shared" si="17"/>
        <v>-8.6861350889723104E-12</v>
      </c>
    </row>
    <row r="249" spans="1:6" x14ac:dyDescent="0.2">
      <c r="A249" s="496">
        <f t="shared" si="19"/>
        <v>51227</v>
      </c>
      <c r="B249" s="470">
        <f t="shared" si="18"/>
        <v>-8.6861350889723104E-12</v>
      </c>
      <c r="C249" s="472">
        <f>IF(ROUND(Tableau3626[[#This Row],[Solde début période]],2)&lt;=0,0,$D$2)</f>
        <v>0</v>
      </c>
      <c r="D249" s="472">
        <f t="shared" si="15"/>
        <v>-2.8591861334533854E-14</v>
      </c>
      <c r="E249" s="472">
        <f t="shared" si="16"/>
        <v>2.8591861334533854E-14</v>
      </c>
      <c r="F249" s="470">
        <f t="shared" si="17"/>
        <v>-8.7147269503068434E-12</v>
      </c>
    </row>
    <row r="250" spans="1:6" x14ac:dyDescent="0.2">
      <c r="A250" s="496">
        <f t="shared" si="19"/>
        <v>51257</v>
      </c>
      <c r="B250" s="470">
        <f t="shared" si="18"/>
        <v>-8.7147269503068434E-12</v>
      </c>
      <c r="C250" s="472">
        <f>IF(ROUND(Tableau3626[[#This Row],[Solde début période]],2)&lt;=0,0,$D$2)</f>
        <v>0</v>
      </c>
      <c r="D250" s="472">
        <f t="shared" si="15"/>
        <v>-2.8685976211426695E-14</v>
      </c>
      <c r="E250" s="472">
        <f t="shared" si="16"/>
        <v>2.8685976211426695E-14</v>
      </c>
      <c r="F250" s="470">
        <f t="shared" si="17"/>
        <v>-8.7434129265182709E-12</v>
      </c>
    </row>
    <row r="251" spans="1:6" x14ac:dyDescent="0.2">
      <c r="A251" s="496">
        <f t="shared" si="19"/>
        <v>51288</v>
      </c>
      <c r="B251" s="470">
        <f t="shared" si="18"/>
        <v>-8.7434129265182709E-12</v>
      </c>
      <c r="C251" s="472">
        <f>IF(ROUND(Tableau3626[[#This Row],[Solde début période]],2)&lt;=0,0,$D$2)</f>
        <v>0</v>
      </c>
      <c r="D251" s="472">
        <f t="shared" si="15"/>
        <v>-2.8780400883122641E-14</v>
      </c>
      <c r="E251" s="472">
        <f t="shared" si="16"/>
        <v>2.8780400883122641E-14</v>
      </c>
      <c r="F251" s="470">
        <f t="shared" si="17"/>
        <v>-8.7721933274013937E-12</v>
      </c>
    </row>
    <row r="252" spans="1:6" x14ac:dyDescent="0.2">
      <c r="A252" s="496">
        <f t="shared" si="19"/>
        <v>51318</v>
      </c>
      <c r="B252" s="470">
        <f t="shared" si="18"/>
        <v>-8.7721933274013937E-12</v>
      </c>
      <c r="C252" s="472">
        <f>IF(ROUND(Tableau3626[[#This Row],[Solde début période]],2)&lt;=0,0,$D$2)</f>
        <v>0</v>
      </c>
      <c r="D252" s="472">
        <f t="shared" si="15"/>
        <v>-2.8875136369362918E-14</v>
      </c>
      <c r="E252" s="472">
        <f t="shared" si="16"/>
        <v>2.8875136369362918E-14</v>
      </c>
      <c r="F252" s="470">
        <f t="shared" si="17"/>
        <v>-8.8010684637707567E-12</v>
      </c>
    </row>
    <row r="253" spans="1:6" x14ac:dyDescent="0.2">
      <c r="A253" s="496">
        <f t="shared" si="19"/>
        <v>51349</v>
      </c>
      <c r="B253" s="470">
        <f t="shared" si="18"/>
        <v>-8.8010684637707567E-12</v>
      </c>
      <c r="C253" s="472">
        <f>IF(ROUND(Tableau3626[[#This Row],[Solde début période]],2)&lt;=0,0,$D$2)</f>
        <v>0</v>
      </c>
      <c r="D253" s="472">
        <f t="shared" si="15"/>
        <v>-2.897018369324541E-14</v>
      </c>
      <c r="E253" s="472">
        <f t="shared" si="16"/>
        <v>2.897018369324541E-14</v>
      </c>
      <c r="F253" s="470">
        <f t="shared" si="17"/>
        <v>-8.8300386474640014E-12</v>
      </c>
    </row>
    <row r="254" spans="1:6" x14ac:dyDescent="0.2">
      <c r="A254" s="496">
        <f t="shared" si="19"/>
        <v>51380</v>
      </c>
      <c r="B254" s="470">
        <f t="shared" si="18"/>
        <v>-8.8300386474640014E-12</v>
      </c>
      <c r="C254" s="472">
        <f>IF(ROUND(Tableau3626[[#This Row],[Solde début période]],2)&lt;=0,0,$D$2)</f>
        <v>0</v>
      </c>
      <c r="D254" s="472">
        <f t="shared" si="15"/>
        <v>-2.9065543881235669E-14</v>
      </c>
      <c r="E254" s="472">
        <f t="shared" si="16"/>
        <v>2.9065543881235669E-14</v>
      </c>
      <c r="F254" s="470">
        <f t="shared" si="17"/>
        <v>-8.8591041913452372E-12</v>
      </c>
    </row>
    <row r="255" spans="1:6" x14ac:dyDescent="0.2">
      <c r="A255" s="496">
        <f t="shared" si="19"/>
        <v>51410</v>
      </c>
      <c r="B255" s="470">
        <f t="shared" si="18"/>
        <v>-8.8591041913452372E-12</v>
      </c>
      <c r="C255" s="472">
        <f>IF(ROUND(Tableau3626[[#This Row],[Solde début période]],2)&lt;=0,0,$D$2)</f>
        <v>0</v>
      </c>
      <c r="D255" s="472">
        <f t="shared" si="15"/>
        <v>-2.9161217963178075E-14</v>
      </c>
      <c r="E255" s="472">
        <f t="shared" si="16"/>
        <v>2.9161217963178075E-14</v>
      </c>
      <c r="F255" s="470">
        <f t="shared" si="17"/>
        <v>-8.8882654093084151E-12</v>
      </c>
    </row>
    <row r="256" spans="1:6" x14ac:dyDescent="0.2">
      <c r="A256" s="496">
        <f t="shared" si="19"/>
        <v>51441</v>
      </c>
      <c r="B256" s="470">
        <f t="shared" si="18"/>
        <v>-8.8882654093084151E-12</v>
      </c>
      <c r="C256" s="472">
        <f>IF(ROUND(Tableau3626[[#This Row],[Solde début période]],2)&lt;=0,0,$D$2)</f>
        <v>0</v>
      </c>
      <c r="D256" s="472">
        <f t="shared" si="15"/>
        <v>-2.9257206972306865E-14</v>
      </c>
      <c r="E256" s="472">
        <f t="shared" si="16"/>
        <v>2.9257206972306865E-14</v>
      </c>
      <c r="F256" s="470">
        <f t="shared" si="17"/>
        <v>-8.9175226162807219E-12</v>
      </c>
    </row>
    <row r="257" spans="1:6" x14ac:dyDescent="0.2">
      <c r="A257" s="496">
        <f t="shared" si="19"/>
        <v>51471</v>
      </c>
      <c r="B257" s="470">
        <f t="shared" si="18"/>
        <v>-8.9175226162807219E-12</v>
      </c>
      <c r="C257" s="472">
        <f>IF(ROUND(Tableau3626[[#This Row],[Solde début période]],2)&lt;=0,0,$D$2)</f>
        <v>0</v>
      </c>
      <c r="D257" s="472">
        <f t="shared" si="15"/>
        <v>-2.9353511945257377E-14</v>
      </c>
      <c r="E257" s="472">
        <f t="shared" si="16"/>
        <v>2.9353511945257377E-14</v>
      </c>
      <c r="F257" s="470">
        <f t="shared" si="17"/>
        <v>-8.9468761282259795E-12</v>
      </c>
    </row>
    <row r="258" spans="1:6" x14ac:dyDescent="0.2">
      <c r="A258" s="496">
        <f t="shared" si="19"/>
        <v>51502</v>
      </c>
      <c r="B258" s="470">
        <f t="shared" si="18"/>
        <v>-8.9468761282259795E-12</v>
      </c>
      <c r="C258" s="472">
        <f>IF(ROUND(Tableau3626[[#This Row],[Solde début période]],2)&lt;=0,0,$D$2)</f>
        <v>0</v>
      </c>
      <c r="D258" s="472">
        <f t="shared" si="15"/>
        <v>-2.9450133922077182E-14</v>
      </c>
      <c r="E258" s="472">
        <f t="shared" si="16"/>
        <v>2.9450133922077182E-14</v>
      </c>
      <c r="F258" s="470">
        <f t="shared" si="17"/>
        <v>-8.9763262621480567E-12</v>
      </c>
    </row>
    <row r="259" spans="1:6" x14ac:dyDescent="0.2">
      <c r="A259" s="496">
        <f t="shared" si="19"/>
        <v>51533</v>
      </c>
      <c r="B259" s="470">
        <f t="shared" si="18"/>
        <v>-8.9763262621480567E-12</v>
      </c>
      <c r="C259" s="472">
        <f>IF(ROUND(Tableau3626[[#This Row],[Solde début période]],2)&lt;=0,0,$D$2)</f>
        <v>0</v>
      </c>
      <c r="D259" s="472">
        <f t="shared" si="15"/>
        <v>-2.9547073946237357E-14</v>
      </c>
      <c r="E259" s="472">
        <f t="shared" si="16"/>
        <v>2.9547073946237357E-14</v>
      </c>
      <c r="F259" s="470">
        <f t="shared" si="17"/>
        <v>-9.0058733360942948E-12</v>
      </c>
    </row>
    <row r="260" spans="1:6" x14ac:dyDescent="0.2">
      <c r="A260" s="496">
        <f t="shared" si="19"/>
        <v>51561</v>
      </c>
      <c r="B260" s="470">
        <f t="shared" si="18"/>
        <v>-9.0058733360942948E-12</v>
      </c>
      <c r="C260" s="472">
        <f>IF(ROUND(Tableau3626[[#This Row],[Solde début période]],2)&lt;=0,0,$D$2)</f>
        <v>0</v>
      </c>
      <c r="D260" s="472">
        <f t="shared" si="15"/>
        <v>-2.9644333064643721E-14</v>
      </c>
      <c r="E260" s="472">
        <f t="shared" si="16"/>
        <v>2.9644333064643721E-14</v>
      </c>
      <c r="F260" s="470">
        <f t="shared" si="17"/>
        <v>-9.0355176691589385E-12</v>
      </c>
    </row>
    <row r="261" spans="1:6" x14ac:dyDescent="0.2">
      <c r="A261" s="496">
        <f t="shared" si="19"/>
        <v>51592</v>
      </c>
      <c r="B261" s="470">
        <f t="shared" si="18"/>
        <v>-9.0355176691589385E-12</v>
      </c>
      <c r="C261" s="472">
        <f>IF(ROUND(Tableau3626[[#This Row],[Solde début période]],2)&lt;=0,0,$D$2)</f>
        <v>0</v>
      </c>
      <c r="D261" s="472">
        <f t="shared" si="15"/>
        <v>-2.9741912327648175E-14</v>
      </c>
      <c r="E261" s="472">
        <f t="shared" si="16"/>
        <v>2.9741912327648175E-14</v>
      </c>
      <c r="F261" s="470">
        <f t="shared" si="17"/>
        <v>-9.0652595814865874E-12</v>
      </c>
    </row>
    <row r="262" spans="1:6" x14ac:dyDescent="0.2">
      <c r="A262" s="496">
        <f t="shared" si="19"/>
        <v>51622</v>
      </c>
      <c r="B262" s="470">
        <f t="shared" si="18"/>
        <v>-9.0652595814865874E-12</v>
      </c>
      <c r="C262" s="472">
        <f>IF(ROUND(Tableau3626[[#This Row],[Solde début période]],2)&lt;=0,0,$D$2)</f>
        <v>0</v>
      </c>
      <c r="D262" s="472">
        <f t="shared" ref="D262:D325" si="20">B262*($B$2/12)</f>
        <v>-2.9839812789060018E-14</v>
      </c>
      <c r="E262" s="472">
        <f t="shared" ref="E262:E325" si="21">C262-D262</f>
        <v>2.9839812789060018E-14</v>
      </c>
      <c r="F262" s="470">
        <f t="shared" ref="F262:F325" si="22">B262-E262</f>
        <v>-9.095099394275648E-12</v>
      </c>
    </row>
    <row r="263" spans="1:6" x14ac:dyDescent="0.2">
      <c r="A263" s="496">
        <f t="shared" si="19"/>
        <v>51653</v>
      </c>
      <c r="B263" s="470">
        <f t="shared" ref="B263:B326" si="23">F262</f>
        <v>-9.095099394275648E-12</v>
      </c>
      <c r="C263" s="472">
        <f>IF(ROUND(Tableau3626[[#This Row],[Solde début période]],2)&lt;=0,0,$D$2)</f>
        <v>0</v>
      </c>
      <c r="D263" s="472">
        <f t="shared" si="20"/>
        <v>-2.9938035506157343E-14</v>
      </c>
      <c r="E263" s="472">
        <f t="shared" si="21"/>
        <v>2.9938035506157343E-14</v>
      </c>
      <c r="F263" s="470">
        <f t="shared" si="22"/>
        <v>-9.1250374297818057E-12</v>
      </c>
    </row>
    <row r="264" spans="1:6" x14ac:dyDescent="0.2">
      <c r="A264" s="496">
        <f t="shared" ref="A264:A327" si="24">EDATE(A263,1)</f>
        <v>51683</v>
      </c>
      <c r="B264" s="470">
        <f t="shared" si="23"/>
        <v>-9.1250374297818057E-12</v>
      </c>
      <c r="C264" s="472">
        <f>IF(ROUND(Tableau3626[[#This Row],[Solde début période]],2)&lt;=0,0,$D$2)</f>
        <v>0</v>
      </c>
      <c r="D264" s="472">
        <f t="shared" si="20"/>
        <v>-3.0036581539698444E-14</v>
      </c>
      <c r="E264" s="472">
        <f t="shared" si="21"/>
        <v>3.0036581539698444E-14</v>
      </c>
      <c r="F264" s="470">
        <f t="shared" si="22"/>
        <v>-9.1550740113215035E-12</v>
      </c>
    </row>
    <row r="265" spans="1:6" x14ac:dyDescent="0.2">
      <c r="A265" s="496">
        <f t="shared" si="24"/>
        <v>51714</v>
      </c>
      <c r="B265" s="470">
        <f t="shared" si="23"/>
        <v>-9.1550740113215035E-12</v>
      </c>
      <c r="C265" s="472">
        <f>IF(ROUND(Tableau3626[[#This Row],[Solde début période]],2)&lt;=0,0,$D$2)</f>
        <v>0</v>
      </c>
      <c r="D265" s="472">
        <f t="shared" si="20"/>
        <v>-3.0135451953933284E-14</v>
      </c>
      <c r="E265" s="472">
        <f t="shared" si="21"/>
        <v>3.0135451953933284E-14</v>
      </c>
      <c r="F265" s="470">
        <f t="shared" si="22"/>
        <v>-9.1852094632754361E-12</v>
      </c>
    </row>
    <row r="266" spans="1:6" x14ac:dyDescent="0.2">
      <c r="A266" s="496">
        <f t="shared" si="24"/>
        <v>51745</v>
      </c>
      <c r="B266" s="470">
        <f t="shared" si="23"/>
        <v>-9.1852094632754361E-12</v>
      </c>
      <c r="C266" s="472">
        <f>IF(ROUND(Tableau3626[[#This Row],[Solde début période]],2)&lt;=0,0,$D$2)</f>
        <v>0</v>
      </c>
      <c r="D266" s="472">
        <f t="shared" si="20"/>
        <v>-3.0234647816614979E-14</v>
      </c>
      <c r="E266" s="472">
        <f t="shared" si="21"/>
        <v>3.0234647816614979E-14</v>
      </c>
      <c r="F266" s="470">
        <f t="shared" si="22"/>
        <v>-9.2154441110920511E-12</v>
      </c>
    </row>
    <row r="267" spans="1:6" x14ac:dyDescent="0.2">
      <c r="A267" s="496">
        <f t="shared" si="24"/>
        <v>51775</v>
      </c>
      <c r="B267" s="470">
        <f t="shared" si="23"/>
        <v>-9.2154441110920511E-12</v>
      </c>
      <c r="C267" s="472">
        <f>IF(ROUND(Tableau3626[[#This Row],[Solde début période]],2)&lt;=0,0,$D$2)</f>
        <v>0</v>
      </c>
      <c r="D267" s="472">
        <f t="shared" si="20"/>
        <v>-3.0334170199011332E-14</v>
      </c>
      <c r="E267" s="472">
        <f t="shared" si="21"/>
        <v>3.0334170199011332E-14</v>
      </c>
      <c r="F267" s="470">
        <f t="shared" si="22"/>
        <v>-9.2457782812910628E-12</v>
      </c>
    </row>
    <row r="268" spans="1:6" x14ac:dyDescent="0.2">
      <c r="A268" s="496">
        <f t="shared" si="24"/>
        <v>51806</v>
      </c>
      <c r="B268" s="470">
        <f t="shared" si="23"/>
        <v>-9.2457782812910628E-12</v>
      </c>
      <c r="C268" s="472">
        <f>IF(ROUND(Tableau3626[[#This Row],[Solde début période]],2)&lt;=0,0,$D$2)</f>
        <v>0</v>
      </c>
      <c r="D268" s="472">
        <f t="shared" si="20"/>
        <v>-3.0434020175916416E-14</v>
      </c>
      <c r="E268" s="472">
        <f t="shared" si="21"/>
        <v>3.0434020175916416E-14</v>
      </c>
      <c r="F268" s="470">
        <f t="shared" si="22"/>
        <v>-9.2762123014669792E-12</v>
      </c>
    </row>
    <row r="269" spans="1:6" x14ac:dyDescent="0.2">
      <c r="A269" s="496">
        <f t="shared" si="24"/>
        <v>51836</v>
      </c>
      <c r="B269" s="470">
        <f t="shared" si="23"/>
        <v>-9.2762123014669792E-12</v>
      </c>
      <c r="C269" s="472">
        <f>IF(ROUND(Tableau3626[[#This Row],[Solde début période]],2)&lt;=0,0,$D$2)</f>
        <v>0</v>
      </c>
      <c r="D269" s="472">
        <f t="shared" si="20"/>
        <v>-3.0534198825662142E-14</v>
      </c>
      <c r="E269" s="472">
        <f t="shared" si="21"/>
        <v>3.0534198825662142E-14</v>
      </c>
      <c r="F269" s="470">
        <f t="shared" si="22"/>
        <v>-9.3067465002926415E-12</v>
      </c>
    </row>
    <row r="270" spans="1:6" x14ac:dyDescent="0.2">
      <c r="A270" s="496">
        <f t="shared" si="24"/>
        <v>51867</v>
      </c>
      <c r="B270" s="470">
        <f t="shared" si="23"/>
        <v>-9.3067465002926415E-12</v>
      </c>
      <c r="C270" s="472">
        <f>IF(ROUND(Tableau3626[[#This Row],[Solde début période]],2)&lt;=0,0,$D$2)</f>
        <v>0</v>
      </c>
      <c r="D270" s="472">
        <f t="shared" si="20"/>
        <v>-3.0634707230129945E-14</v>
      </c>
      <c r="E270" s="472">
        <f t="shared" si="21"/>
        <v>3.0634707230129945E-14</v>
      </c>
      <c r="F270" s="470">
        <f t="shared" si="22"/>
        <v>-9.3373812075227721E-12</v>
      </c>
    </row>
    <row r="271" spans="1:6" x14ac:dyDescent="0.2">
      <c r="A271" s="496">
        <f t="shared" si="24"/>
        <v>51898</v>
      </c>
      <c r="B271" s="470">
        <f t="shared" si="23"/>
        <v>-9.3373812075227721E-12</v>
      </c>
      <c r="C271" s="472">
        <f>IF(ROUND(Tableau3626[[#This Row],[Solde début période]],2)&lt;=0,0,$D$2)</f>
        <v>0</v>
      </c>
      <c r="D271" s="472">
        <f t="shared" si="20"/>
        <v>-3.0735546474762459E-14</v>
      </c>
      <c r="E271" s="472">
        <f t="shared" si="21"/>
        <v>3.0735546474762459E-14</v>
      </c>
      <c r="F271" s="470">
        <f t="shared" si="22"/>
        <v>-9.3681167539975353E-12</v>
      </c>
    </row>
    <row r="272" spans="1:6" x14ac:dyDescent="0.2">
      <c r="A272" s="496">
        <f t="shared" si="24"/>
        <v>51926</v>
      </c>
      <c r="B272" s="470">
        <f t="shared" si="23"/>
        <v>-9.3681167539975353E-12</v>
      </c>
      <c r="C272" s="472">
        <f>IF(ROUND(Tableau3626[[#This Row],[Solde début période]],2)&lt;=0,0,$D$2)</f>
        <v>0</v>
      </c>
      <c r="D272" s="472">
        <f t="shared" si="20"/>
        <v>-3.0836717648575223E-14</v>
      </c>
      <c r="E272" s="472">
        <f t="shared" si="21"/>
        <v>3.0836717648575223E-14</v>
      </c>
      <c r="F272" s="470">
        <f t="shared" si="22"/>
        <v>-9.398953471646111E-12</v>
      </c>
    </row>
    <row r="273" spans="1:6" x14ac:dyDescent="0.2">
      <c r="A273" s="496">
        <f t="shared" si="24"/>
        <v>51957</v>
      </c>
      <c r="B273" s="470">
        <f t="shared" si="23"/>
        <v>-9.398953471646111E-12</v>
      </c>
      <c r="C273" s="472">
        <f>IF(ROUND(Tableau3626[[#This Row],[Solde début période]],2)&lt;=0,0,$D$2)</f>
        <v>0</v>
      </c>
      <c r="D273" s="472">
        <f t="shared" si="20"/>
        <v>-3.0938221844168452E-14</v>
      </c>
      <c r="E273" s="472">
        <f t="shared" si="21"/>
        <v>3.0938221844168452E-14</v>
      </c>
      <c r="F273" s="470">
        <f t="shared" si="22"/>
        <v>-9.4298916934902797E-12</v>
      </c>
    </row>
    <row r="274" spans="1:6" x14ac:dyDescent="0.2">
      <c r="A274" s="496">
        <f t="shared" si="24"/>
        <v>51987</v>
      </c>
      <c r="B274" s="470">
        <f t="shared" si="23"/>
        <v>-9.4298916934902797E-12</v>
      </c>
      <c r="C274" s="472">
        <f>IF(ROUND(Tableau3626[[#This Row],[Solde début période]],2)&lt;=0,0,$D$2)</f>
        <v>0</v>
      </c>
      <c r="D274" s="472">
        <f t="shared" si="20"/>
        <v>-3.1040060157738836E-14</v>
      </c>
      <c r="E274" s="472">
        <f t="shared" si="21"/>
        <v>3.1040060157738836E-14</v>
      </c>
      <c r="F274" s="470">
        <f t="shared" si="22"/>
        <v>-9.4609317536480187E-12</v>
      </c>
    </row>
    <row r="275" spans="1:6" x14ac:dyDescent="0.2">
      <c r="A275" s="496">
        <f t="shared" si="24"/>
        <v>52018</v>
      </c>
      <c r="B275" s="470">
        <f t="shared" si="23"/>
        <v>-9.4609317536480187E-12</v>
      </c>
      <c r="C275" s="472">
        <f>IF(ROUND(Tableau3626[[#This Row],[Solde début période]],2)&lt;=0,0,$D$2)</f>
        <v>0</v>
      </c>
      <c r="D275" s="472">
        <f t="shared" si="20"/>
        <v>-3.1142233689091397E-14</v>
      </c>
      <c r="E275" s="472">
        <f t="shared" si="21"/>
        <v>3.1142233689091397E-14</v>
      </c>
      <c r="F275" s="470">
        <f t="shared" si="22"/>
        <v>-9.4920739873371099E-12</v>
      </c>
    </row>
    <row r="276" spans="1:6" x14ac:dyDescent="0.2">
      <c r="A276" s="496">
        <f t="shared" si="24"/>
        <v>52048</v>
      </c>
      <c r="B276" s="470">
        <f t="shared" si="23"/>
        <v>-9.4920739873371099E-12</v>
      </c>
      <c r="C276" s="472">
        <f>IF(ROUND(Tableau3626[[#This Row],[Solde début période]],2)&lt;=0,0,$D$2)</f>
        <v>0</v>
      </c>
      <c r="D276" s="472">
        <f t="shared" si="20"/>
        <v>-3.1244743541651322E-14</v>
      </c>
      <c r="E276" s="472">
        <f t="shared" si="21"/>
        <v>3.1244743541651322E-14</v>
      </c>
      <c r="F276" s="470">
        <f t="shared" si="22"/>
        <v>-9.5233187308787616E-12</v>
      </c>
    </row>
    <row r="277" spans="1:6" x14ac:dyDescent="0.2">
      <c r="A277" s="496">
        <f t="shared" si="24"/>
        <v>52079</v>
      </c>
      <c r="B277" s="470">
        <f t="shared" si="23"/>
        <v>-9.5233187308787616E-12</v>
      </c>
      <c r="C277" s="472">
        <f>IF(ROUND(Tableau3626[[#This Row],[Solde début période]],2)&lt;=0,0,$D$2)</f>
        <v>0</v>
      </c>
      <c r="D277" s="472">
        <f t="shared" si="20"/>
        <v>-3.1347590822475927E-14</v>
      </c>
      <c r="E277" s="472">
        <f t="shared" si="21"/>
        <v>3.1347590822475927E-14</v>
      </c>
      <c r="F277" s="470">
        <f t="shared" si="22"/>
        <v>-9.5546663217012377E-12</v>
      </c>
    </row>
    <row r="278" spans="1:6" x14ac:dyDescent="0.2">
      <c r="A278" s="496">
        <f t="shared" si="24"/>
        <v>52110</v>
      </c>
      <c r="B278" s="470">
        <f t="shared" si="23"/>
        <v>-9.5546663217012377E-12</v>
      </c>
      <c r="C278" s="472">
        <f>IF(ROUND(Tableau3626[[#This Row],[Solde début période]],2)&lt;=0,0,$D$2)</f>
        <v>0</v>
      </c>
      <c r="D278" s="472">
        <f t="shared" si="20"/>
        <v>-3.1450776642266574E-14</v>
      </c>
      <c r="E278" s="472">
        <f t="shared" si="21"/>
        <v>3.1450776642266574E-14</v>
      </c>
      <c r="F278" s="470">
        <f t="shared" si="22"/>
        <v>-9.5861170983435049E-12</v>
      </c>
    </row>
    <row r="279" spans="1:6" x14ac:dyDescent="0.2">
      <c r="A279" s="496">
        <f t="shared" si="24"/>
        <v>52140</v>
      </c>
      <c r="B279" s="470">
        <f t="shared" si="23"/>
        <v>-9.5861170983435049E-12</v>
      </c>
      <c r="C279" s="472">
        <f>IF(ROUND(Tableau3626[[#This Row],[Solde début période]],2)&lt;=0,0,$D$2)</f>
        <v>0</v>
      </c>
      <c r="D279" s="472">
        <f t="shared" si="20"/>
        <v>-3.1554302115380705E-14</v>
      </c>
      <c r="E279" s="472">
        <f t="shared" si="21"/>
        <v>3.1554302115380705E-14</v>
      </c>
      <c r="F279" s="470">
        <f t="shared" si="22"/>
        <v>-9.6176714004588863E-12</v>
      </c>
    </row>
    <row r="280" spans="1:6" x14ac:dyDescent="0.2">
      <c r="A280" s="496">
        <f t="shared" si="24"/>
        <v>52171</v>
      </c>
      <c r="B280" s="470">
        <f t="shared" si="23"/>
        <v>-9.6176714004588863E-12</v>
      </c>
      <c r="C280" s="472">
        <f>IF(ROUND(Tableau3626[[#This Row],[Solde début période]],2)&lt;=0,0,$D$2)</f>
        <v>0</v>
      </c>
      <c r="D280" s="472">
        <f t="shared" si="20"/>
        <v>-3.1658168359843833E-14</v>
      </c>
      <c r="E280" s="472">
        <f t="shared" si="21"/>
        <v>3.1658168359843833E-14</v>
      </c>
      <c r="F280" s="470">
        <f t="shared" si="22"/>
        <v>-9.6493295688187299E-12</v>
      </c>
    </row>
    <row r="281" spans="1:6" x14ac:dyDescent="0.2">
      <c r="A281" s="496">
        <f t="shared" si="24"/>
        <v>52201</v>
      </c>
      <c r="B281" s="470">
        <f t="shared" si="23"/>
        <v>-9.6493295688187299E-12</v>
      </c>
      <c r="C281" s="472">
        <f>IF(ROUND(Tableau3626[[#This Row],[Solde début période]],2)&lt;=0,0,$D$2)</f>
        <v>0</v>
      </c>
      <c r="D281" s="472">
        <f t="shared" si="20"/>
        <v>-3.1762376497361651E-14</v>
      </c>
      <c r="E281" s="472">
        <f t="shared" si="21"/>
        <v>3.1762376497361651E-14</v>
      </c>
      <c r="F281" s="470">
        <f t="shared" si="22"/>
        <v>-9.6810919453160908E-12</v>
      </c>
    </row>
    <row r="282" spans="1:6" x14ac:dyDescent="0.2">
      <c r="A282" s="496">
        <f t="shared" si="24"/>
        <v>52232</v>
      </c>
      <c r="B282" s="470">
        <f t="shared" si="23"/>
        <v>-9.6810919453160908E-12</v>
      </c>
      <c r="C282" s="472">
        <f>IF(ROUND(Tableau3626[[#This Row],[Solde début période]],2)&lt;=0,0,$D$2)</f>
        <v>0</v>
      </c>
      <c r="D282" s="472">
        <f t="shared" si="20"/>
        <v>-3.1866927653332133E-14</v>
      </c>
      <c r="E282" s="472">
        <f t="shared" si="21"/>
        <v>3.1866927653332133E-14</v>
      </c>
      <c r="F282" s="470">
        <f t="shared" si="22"/>
        <v>-9.7129588729694227E-12</v>
      </c>
    </row>
    <row r="283" spans="1:6" x14ac:dyDescent="0.2">
      <c r="A283" s="496">
        <f t="shared" si="24"/>
        <v>52263</v>
      </c>
      <c r="B283" s="470">
        <f t="shared" si="23"/>
        <v>-9.7129588729694227E-12</v>
      </c>
      <c r="C283" s="472">
        <f>IF(ROUND(Tableau3626[[#This Row],[Solde début période]],2)&lt;=0,0,$D$2)</f>
        <v>0</v>
      </c>
      <c r="D283" s="472">
        <f t="shared" si="20"/>
        <v>-3.1971822956857685E-14</v>
      </c>
      <c r="E283" s="472">
        <f t="shared" si="21"/>
        <v>3.1971822956857685E-14</v>
      </c>
      <c r="F283" s="470">
        <f t="shared" si="22"/>
        <v>-9.7449306959262806E-12</v>
      </c>
    </row>
    <row r="284" spans="1:6" x14ac:dyDescent="0.2">
      <c r="A284" s="496">
        <f t="shared" si="24"/>
        <v>52291</v>
      </c>
      <c r="B284" s="470">
        <f t="shared" si="23"/>
        <v>-9.7449306959262806E-12</v>
      </c>
      <c r="C284" s="472">
        <f>IF(ROUND(Tableau3626[[#This Row],[Solde début période]],2)&lt;=0,0,$D$2)</f>
        <v>0</v>
      </c>
      <c r="D284" s="472">
        <f t="shared" si="20"/>
        <v>-3.207706354075734E-14</v>
      </c>
      <c r="E284" s="472">
        <f t="shared" si="21"/>
        <v>3.207706354075734E-14</v>
      </c>
      <c r="F284" s="470">
        <f t="shared" si="22"/>
        <v>-9.7770077594670374E-12</v>
      </c>
    </row>
    <row r="285" spans="1:6" x14ac:dyDescent="0.2">
      <c r="A285" s="496">
        <f t="shared" si="24"/>
        <v>52322</v>
      </c>
      <c r="B285" s="470">
        <f t="shared" si="23"/>
        <v>-9.7770077594670374E-12</v>
      </c>
      <c r="C285" s="472">
        <f>IF(ROUND(Tableau3626[[#This Row],[Solde début période]],2)&lt;=0,0,$D$2)</f>
        <v>0</v>
      </c>
      <c r="D285" s="472">
        <f t="shared" si="20"/>
        <v>-3.2182650541578997E-14</v>
      </c>
      <c r="E285" s="472">
        <f t="shared" si="21"/>
        <v>3.2182650541578997E-14</v>
      </c>
      <c r="F285" s="470">
        <f t="shared" si="22"/>
        <v>-9.8091904100086164E-12</v>
      </c>
    </row>
    <row r="286" spans="1:6" x14ac:dyDescent="0.2">
      <c r="A286" s="496">
        <f t="shared" si="24"/>
        <v>52352</v>
      </c>
      <c r="B286" s="470">
        <f t="shared" si="23"/>
        <v>-9.8091904100086164E-12</v>
      </c>
      <c r="C286" s="472">
        <f>IF(ROUND(Tableau3626[[#This Row],[Solde début période]],2)&lt;=0,0,$D$2)</f>
        <v>0</v>
      </c>
      <c r="D286" s="472">
        <f t="shared" si="20"/>
        <v>-3.2288585099611697E-14</v>
      </c>
      <c r="E286" s="472">
        <f t="shared" si="21"/>
        <v>3.2288585099611697E-14</v>
      </c>
      <c r="F286" s="470">
        <f t="shared" si="22"/>
        <v>-9.8414789951082275E-12</v>
      </c>
    </row>
    <row r="287" spans="1:6" x14ac:dyDescent="0.2">
      <c r="A287" s="496">
        <f t="shared" si="24"/>
        <v>52383</v>
      </c>
      <c r="B287" s="470">
        <f t="shared" si="23"/>
        <v>-9.8414789951082275E-12</v>
      </c>
      <c r="C287" s="472">
        <f>IF(ROUND(Tableau3626[[#This Row],[Solde début période]],2)&lt;=0,0,$D$2)</f>
        <v>0</v>
      </c>
      <c r="D287" s="472">
        <f t="shared" si="20"/>
        <v>-3.2394868358897913E-14</v>
      </c>
      <c r="E287" s="472">
        <f t="shared" si="21"/>
        <v>3.2394868358897913E-14</v>
      </c>
      <c r="F287" s="470">
        <f t="shared" si="22"/>
        <v>-9.8738738634671248E-12</v>
      </c>
    </row>
    <row r="288" spans="1:6" x14ac:dyDescent="0.2">
      <c r="A288" s="496">
        <f t="shared" si="24"/>
        <v>52413</v>
      </c>
      <c r="B288" s="470">
        <f t="shared" si="23"/>
        <v>-9.8738738634671248E-12</v>
      </c>
      <c r="C288" s="472">
        <f>IF(ROUND(Tableau3626[[#This Row],[Solde début période]],2)&lt;=0,0,$D$2)</f>
        <v>0</v>
      </c>
      <c r="D288" s="472">
        <f t="shared" si="20"/>
        <v>-3.2501501467245951E-14</v>
      </c>
      <c r="E288" s="472">
        <f t="shared" si="21"/>
        <v>3.2501501467245951E-14</v>
      </c>
      <c r="F288" s="470">
        <f t="shared" si="22"/>
        <v>-9.9063753649343705E-12</v>
      </c>
    </row>
    <row r="289" spans="1:6" x14ac:dyDescent="0.2">
      <c r="A289" s="496">
        <f t="shared" si="24"/>
        <v>52444</v>
      </c>
      <c r="B289" s="470">
        <f t="shared" si="23"/>
        <v>-9.9063753649343705E-12</v>
      </c>
      <c r="C289" s="472">
        <f>IF(ROUND(Tableau3626[[#This Row],[Solde début période]],2)&lt;=0,0,$D$2)</f>
        <v>0</v>
      </c>
      <c r="D289" s="472">
        <f t="shared" si="20"/>
        <v>-3.2608485576242306E-14</v>
      </c>
      <c r="E289" s="472">
        <f t="shared" si="21"/>
        <v>3.2608485576242306E-14</v>
      </c>
      <c r="F289" s="470">
        <f t="shared" si="22"/>
        <v>-9.9389838505106127E-12</v>
      </c>
    </row>
    <row r="290" spans="1:6" x14ac:dyDescent="0.2">
      <c r="A290" s="496">
        <f t="shared" si="24"/>
        <v>52475</v>
      </c>
      <c r="B290" s="470">
        <f t="shared" si="23"/>
        <v>-9.9389838505106127E-12</v>
      </c>
      <c r="C290" s="472">
        <f>IF(ROUND(Tableau3626[[#This Row],[Solde début période]],2)&lt;=0,0,$D$2)</f>
        <v>0</v>
      </c>
      <c r="D290" s="472">
        <f t="shared" si="20"/>
        <v>-3.2715821841264102E-14</v>
      </c>
      <c r="E290" s="472">
        <f t="shared" si="21"/>
        <v>3.2715821841264102E-14</v>
      </c>
      <c r="F290" s="470">
        <f t="shared" si="22"/>
        <v>-9.9716996723518768E-12</v>
      </c>
    </row>
    <row r="291" spans="1:6" x14ac:dyDescent="0.2">
      <c r="A291" s="496">
        <f t="shared" si="24"/>
        <v>52505</v>
      </c>
      <c r="B291" s="470">
        <f t="shared" si="23"/>
        <v>-9.9716996723518768E-12</v>
      </c>
      <c r="C291" s="472">
        <f>IF(ROUND(Tableau3626[[#This Row],[Solde début période]],2)&lt;=0,0,$D$2)</f>
        <v>0</v>
      </c>
      <c r="D291" s="472">
        <f t="shared" si="20"/>
        <v>-3.2823511421491592E-14</v>
      </c>
      <c r="E291" s="472">
        <f t="shared" si="21"/>
        <v>3.2823511421491592E-14</v>
      </c>
      <c r="F291" s="470">
        <f t="shared" si="22"/>
        <v>-1.0004523183773369E-11</v>
      </c>
    </row>
    <row r="292" spans="1:6" x14ac:dyDescent="0.2">
      <c r="A292" s="496">
        <f t="shared" si="24"/>
        <v>52536</v>
      </c>
      <c r="B292" s="470">
        <f t="shared" si="23"/>
        <v>-1.0004523183773369E-11</v>
      </c>
      <c r="C292" s="472">
        <f>IF(ROUND(Tableau3626[[#This Row],[Solde début période]],2)&lt;=0,0,$D$2)</f>
        <v>0</v>
      </c>
      <c r="D292" s="472">
        <f t="shared" si="20"/>
        <v>-3.2931555479920674E-14</v>
      </c>
      <c r="E292" s="472">
        <f t="shared" si="21"/>
        <v>3.2931555479920674E-14</v>
      </c>
      <c r="F292" s="470">
        <f t="shared" si="22"/>
        <v>-1.003745473925329E-11</v>
      </c>
    </row>
    <row r="293" spans="1:6" x14ac:dyDescent="0.2">
      <c r="A293" s="496">
        <f t="shared" si="24"/>
        <v>52566</v>
      </c>
      <c r="B293" s="470">
        <f t="shared" si="23"/>
        <v>-1.003745473925329E-11</v>
      </c>
      <c r="C293" s="472">
        <f>IF(ROUND(Tableau3626[[#This Row],[Solde début période]],2)&lt;=0,0,$D$2)</f>
        <v>0</v>
      </c>
      <c r="D293" s="472">
        <f t="shared" si="20"/>
        <v>-3.3039955183375412E-14</v>
      </c>
      <c r="E293" s="472">
        <f t="shared" si="21"/>
        <v>3.3039955183375412E-14</v>
      </c>
      <c r="F293" s="470">
        <f t="shared" si="22"/>
        <v>-1.0070494694436664E-11</v>
      </c>
    </row>
    <row r="294" spans="1:6" x14ac:dyDescent="0.2">
      <c r="A294" s="496">
        <f t="shared" si="24"/>
        <v>52597</v>
      </c>
      <c r="B294" s="470">
        <f t="shared" si="23"/>
        <v>-1.0070494694436664E-11</v>
      </c>
      <c r="C294" s="472">
        <f>IF(ROUND(Tableau3626[[#This Row],[Solde début période]],2)&lt;=0,0,$D$2)</f>
        <v>0</v>
      </c>
      <c r="D294" s="472">
        <f t="shared" si="20"/>
        <v>-3.3148711702520686E-14</v>
      </c>
      <c r="E294" s="472">
        <f t="shared" si="21"/>
        <v>3.3148711702520686E-14</v>
      </c>
      <c r="F294" s="470">
        <f t="shared" si="22"/>
        <v>-1.0103643406139185E-11</v>
      </c>
    </row>
    <row r="295" spans="1:6" x14ac:dyDescent="0.2">
      <c r="A295" s="496">
        <f t="shared" si="24"/>
        <v>52628</v>
      </c>
      <c r="B295" s="470">
        <f t="shared" si="23"/>
        <v>-1.0103643406139185E-11</v>
      </c>
      <c r="C295" s="472">
        <f>IF(ROUND(Tableau3626[[#This Row],[Solde début période]],2)&lt;=0,0,$D$2)</f>
        <v>0</v>
      </c>
      <c r="D295" s="472">
        <f t="shared" si="20"/>
        <v>-3.325782621187482E-14</v>
      </c>
      <c r="E295" s="472">
        <f t="shared" si="21"/>
        <v>3.325782621187482E-14</v>
      </c>
      <c r="F295" s="470">
        <f t="shared" si="22"/>
        <v>-1.0136901232351059E-11</v>
      </c>
    </row>
    <row r="296" spans="1:6" x14ac:dyDescent="0.2">
      <c r="A296" s="496">
        <f t="shared" si="24"/>
        <v>52657</v>
      </c>
      <c r="B296" s="470">
        <f t="shared" si="23"/>
        <v>-1.0136901232351059E-11</v>
      </c>
      <c r="C296" s="472">
        <f>IF(ROUND(Tableau3626[[#This Row],[Solde début période]],2)&lt;=0,0,$D$2)</f>
        <v>0</v>
      </c>
      <c r="D296" s="472">
        <f t="shared" si="20"/>
        <v>-3.3367299889822234E-14</v>
      </c>
      <c r="E296" s="472">
        <f t="shared" si="21"/>
        <v>3.3367299889822234E-14</v>
      </c>
      <c r="F296" s="470">
        <f t="shared" si="22"/>
        <v>-1.0170268532240882E-11</v>
      </c>
    </row>
    <row r="297" spans="1:6" x14ac:dyDescent="0.2">
      <c r="A297" s="496">
        <f t="shared" si="24"/>
        <v>52688</v>
      </c>
      <c r="B297" s="470">
        <f t="shared" si="23"/>
        <v>-1.0170268532240882E-11</v>
      </c>
      <c r="C297" s="472">
        <f>IF(ROUND(Tableau3626[[#This Row],[Solde début période]],2)&lt;=0,0,$D$2)</f>
        <v>0</v>
      </c>
      <c r="D297" s="472">
        <f t="shared" si="20"/>
        <v>-3.3477133918626238E-14</v>
      </c>
      <c r="E297" s="472">
        <f t="shared" si="21"/>
        <v>3.3477133918626238E-14</v>
      </c>
      <c r="F297" s="470">
        <f t="shared" si="22"/>
        <v>-1.0203745666159508E-11</v>
      </c>
    </row>
    <row r="298" spans="1:6" x14ac:dyDescent="0.2">
      <c r="A298" s="496">
        <f t="shared" si="24"/>
        <v>52718</v>
      </c>
      <c r="B298" s="470">
        <f t="shared" si="23"/>
        <v>-1.0203745666159508E-11</v>
      </c>
      <c r="C298" s="472">
        <f>IF(ROUND(Tableau3626[[#This Row],[Solde début période]],2)&lt;=0,0,$D$2)</f>
        <v>0</v>
      </c>
      <c r="D298" s="472">
        <f t="shared" si="20"/>
        <v>-3.3587329484441716E-14</v>
      </c>
      <c r="E298" s="472">
        <f t="shared" si="21"/>
        <v>3.3587329484441716E-14</v>
      </c>
      <c r="F298" s="470">
        <f t="shared" si="22"/>
        <v>-1.0237332995643949E-11</v>
      </c>
    </row>
    <row r="299" spans="1:6" x14ac:dyDescent="0.2">
      <c r="A299" s="496">
        <f t="shared" si="24"/>
        <v>52749</v>
      </c>
      <c r="B299" s="470">
        <f t="shared" si="23"/>
        <v>-1.0237332995643949E-11</v>
      </c>
      <c r="C299" s="472">
        <f>IF(ROUND(Tableau3626[[#This Row],[Solde début période]],2)&lt;=0,0,$D$2)</f>
        <v>0</v>
      </c>
      <c r="D299" s="472">
        <f t="shared" si="20"/>
        <v>-3.3697887777327998E-14</v>
      </c>
      <c r="E299" s="472">
        <f t="shared" si="21"/>
        <v>3.3697887777327998E-14</v>
      </c>
      <c r="F299" s="470">
        <f t="shared" si="22"/>
        <v>-1.0271030883421277E-11</v>
      </c>
    </row>
    <row r="300" spans="1:6" x14ac:dyDescent="0.2">
      <c r="A300" s="496">
        <f t="shared" si="24"/>
        <v>52779</v>
      </c>
      <c r="B300" s="470">
        <f t="shared" si="23"/>
        <v>-1.0271030883421277E-11</v>
      </c>
      <c r="C300" s="472">
        <f>IF(ROUND(Tableau3626[[#This Row],[Solde début période]],2)&lt;=0,0,$D$2)</f>
        <v>0</v>
      </c>
      <c r="D300" s="472">
        <f t="shared" si="20"/>
        <v>-3.3808809991261702E-14</v>
      </c>
      <c r="E300" s="472">
        <f t="shared" si="21"/>
        <v>3.3808809991261702E-14</v>
      </c>
      <c r="F300" s="470">
        <f t="shared" si="22"/>
        <v>-1.0304839693412539E-11</v>
      </c>
    </row>
    <row r="301" spans="1:6" x14ac:dyDescent="0.2">
      <c r="A301" s="496">
        <f t="shared" si="24"/>
        <v>52810</v>
      </c>
      <c r="B301" s="470">
        <f t="shared" si="23"/>
        <v>-1.0304839693412539E-11</v>
      </c>
      <c r="C301" s="472">
        <f>IF(ROUND(Tableau3626[[#This Row],[Solde début période]],2)&lt;=0,0,$D$2)</f>
        <v>0</v>
      </c>
      <c r="D301" s="472">
        <f t="shared" si="20"/>
        <v>-3.3920097324149608E-14</v>
      </c>
      <c r="E301" s="472">
        <f t="shared" si="21"/>
        <v>3.3920097324149608E-14</v>
      </c>
      <c r="F301" s="470">
        <f t="shared" si="22"/>
        <v>-1.0338759790736688E-11</v>
      </c>
    </row>
    <row r="302" spans="1:6" x14ac:dyDescent="0.2">
      <c r="A302" s="496">
        <f t="shared" si="24"/>
        <v>52841</v>
      </c>
      <c r="B302" s="470">
        <f t="shared" si="23"/>
        <v>-1.0338759790736688E-11</v>
      </c>
      <c r="C302" s="472">
        <f>IF(ROUND(Tableau3626[[#This Row],[Solde début période]],2)&lt;=0,0,$D$2)</f>
        <v>0</v>
      </c>
      <c r="D302" s="472">
        <f t="shared" si="20"/>
        <v>-3.4031750977841599E-14</v>
      </c>
      <c r="E302" s="472">
        <f t="shared" si="21"/>
        <v>3.4031750977841599E-14</v>
      </c>
      <c r="F302" s="470">
        <f t="shared" si="22"/>
        <v>-1.037279154171453E-11</v>
      </c>
    </row>
    <row r="303" spans="1:6" x14ac:dyDescent="0.2">
      <c r="A303" s="496">
        <f t="shared" si="24"/>
        <v>52871</v>
      </c>
      <c r="B303" s="470">
        <f t="shared" si="23"/>
        <v>-1.037279154171453E-11</v>
      </c>
      <c r="C303" s="472">
        <f>IF(ROUND(Tableau3626[[#This Row],[Solde début période]],2)&lt;=0,0,$D$2)</f>
        <v>0</v>
      </c>
      <c r="D303" s="472">
        <f t="shared" si="20"/>
        <v>-3.4143772158143661E-14</v>
      </c>
      <c r="E303" s="472">
        <f t="shared" si="21"/>
        <v>3.4143772158143661E-14</v>
      </c>
      <c r="F303" s="470">
        <f t="shared" si="22"/>
        <v>-1.0406935313872675E-11</v>
      </c>
    </row>
    <row r="304" spans="1:6" x14ac:dyDescent="0.2">
      <c r="A304" s="496">
        <f t="shared" si="24"/>
        <v>52902</v>
      </c>
      <c r="B304" s="470">
        <f t="shared" si="23"/>
        <v>-1.0406935313872675E-11</v>
      </c>
      <c r="C304" s="472">
        <f>IF(ROUND(Tableau3626[[#This Row],[Solde début période]],2)&lt;=0,0,$D$2)</f>
        <v>0</v>
      </c>
      <c r="D304" s="472">
        <f t="shared" si="20"/>
        <v>-3.4256162074830885E-14</v>
      </c>
      <c r="E304" s="472">
        <f t="shared" si="21"/>
        <v>3.4256162074830885E-14</v>
      </c>
      <c r="F304" s="470">
        <f t="shared" si="22"/>
        <v>-1.0441191475947505E-11</v>
      </c>
    </row>
    <row r="305" spans="1:6" x14ac:dyDescent="0.2">
      <c r="A305" s="496">
        <f t="shared" si="24"/>
        <v>52932</v>
      </c>
      <c r="B305" s="470">
        <f t="shared" si="23"/>
        <v>-1.0441191475947505E-11</v>
      </c>
      <c r="C305" s="472">
        <f>IF(ROUND(Tableau3626[[#This Row],[Solde début période]],2)&lt;=0,0,$D$2)</f>
        <v>0</v>
      </c>
      <c r="D305" s="472">
        <f t="shared" si="20"/>
        <v>-3.4368921941660538E-14</v>
      </c>
      <c r="E305" s="472">
        <f t="shared" si="21"/>
        <v>3.4368921941660538E-14</v>
      </c>
      <c r="F305" s="470">
        <f t="shared" si="22"/>
        <v>-1.0475560397889166E-11</v>
      </c>
    </row>
    <row r="306" spans="1:6" x14ac:dyDescent="0.2">
      <c r="A306" s="496">
        <f t="shared" si="24"/>
        <v>52963</v>
      </c>
      <c r="B306" s="470">
        <f t="shared" si="23"/>
        <v>-1.0475560397889166E-11</v>
      </c>
      <c r="C306" s="472">
        <f>IF(ROUND(Tableau3626[[#This Row],[Solde début période]],2)&lt;=0,0,$D$2)</f>
        <v>0</v>
      </c>
      <c r="D306" s="472">
        <f t="shared" si="20"/>
        <v>-3.4482052976385169E-14</v>
      </c>
      <c r="E306" s="472">
        <f t="shared" si="21"/>
        <v>3.4482052976385169E-14</v>
      </c>
      <c r="F306" s="470">
        <f t="shared" si="22"/>
        <v>-1.0510042450865551E-11</v>
      </c>
    </row>
    <row r="307" spans="1:6" x14ac:dyDescent="0.2">
      <c r="A307" s="496">
        <f t="shared" si="24"/>
        <v>52994</v>
      </c>
      <c r="B307" s="470">
        <f t="shared" si="23"/>
        <v>-1.0510042450865551E-11</v>
      </c>
      <c r="C307" s="472">
        <f>IF(ROUND(Tableau3626[[#This Row],[Solde début période]],2)&lt;=0,0,$D$2)</f>
        <v>0</v>
      </c>
      <c r="D307" s="472">
        <f t="shared" si="20"/>
        <v>-3.4595556400765773E-14</v>
      </c>
      <c r="E307" s="472">
        <f t="shared" si="21"/>
        <v>3.4595556400765773E-14</v>
      </c>
      <c r="F307" s="470">
        <f t="shared" si="22"/>
        <v>-1.0544638007266317E-11</v>
      </c>
    </row>
    <row r="308" spans="1:6" x14ac:dyDescent="0.2">
      <c r="A308" s="496">
        <f t="shared" si="24"/>
        <v>53022</v>
      </c>
      <c r="B308" s="470">
        <f t="shared" si="23"/>
        <v>-1.0544638007266317E-11</v>
      </c>
      <c r="C308" s="472">
        <f>IF(ROUND(Tableau3626[[#This Row],[Solde début période]],2)&lt;=0,0,$D$2)</f>
        <v>0</v>
      </c>
      <c r="D308" s="472">
        <f t="shared" si="20"/>
        <v>-3.4709433440584961E-14</v>
      </c>
      <c r="E308" s="472">
        <f t="shared" si="21"/>
        <v>3.4709433440584961E-14</v>
      </c>
      <c r="F308" s="470">
        <f t="shared" si="22"/>
        <v>-1.0579347440706902E-11</v>
      </c>
    </row>
    <row r="309" spans="1:6" x14ac:dyDescent="0.2">
      <c r="A309" s="496">
        <f t="shared" si="24"/>
        <v>53053</v>
      </c>
      <c r="B309" s="470">
        <f t="shared" si="23"/>
        <v>-1.0579347440706902E-11</v>
      </c>
      <c r="C309" s="472">
        <f>IF(ROUND(Tableau3626[[#This Row],[Solde début période]],2)&lt;=0,0,$D$2)</f>
        <v>0</v>
      </c>
      <c r="D309" s="472">
        <f t="shared" si="20"/>
        <v>-3.4823685325660218E-14</v>
      </c>
      <c r="E309" s="472">
        <f t="shared" si="21"/>
        <v>3.4823685325660218E-14</v>
      </c>
      <c r="F309" s="470">
        <f t="shared" si="22"/>
        <v>-1.0614171126032563E-11</v>
      </c>
    </row>
    <row r="310" spans="1:6" x14ac:dyDescent="0.2">
      <c r="A310" s="496">
        <f t="shared" si="24"/>
        <v>53083</v>
      </c>
      <c r="B310" s="470">
        <f t="shared" si="23"/>
        <v>-1.0614171126032563E-11</v>
      </c>
      <c r="C310" s="472">
        <f>IF(ROUND(Tableau3626[[#This Row],[Solde début période]],2)&lt;=0,0,$D$2)</f>
        <v>0</v>
      </c>
      <c r="D310" s="472">
        <f t="shared" si="20"/>
        <v>-3.4938313289857184E-14</v>
      </c>
      <c r="E310" s="472">
        <f t="shared" si="21"/>
        <v>3.4938313289857184E-14</v>
      </c>
      <c r="F310" s="470">
        <f t="shared" si="22"/>
        <v>-1.064910943932242E-11</v>
      </c>
    </row>
    <row r="311" spans="1:6" x14ac:dyDescent="0.2">
      <c r="A311" s="496">
        <f t="shared" si="24"/>
        <v>53114</v>
      </c>
      <c r="B311" s="470">
        <f t="shared" si="23"/>
        <v>-1.064910943932242E-11</v>
      </c>
      <c r="C311" s="472">
        <f>IF(ROUND(Tableau3626[[#This Row],[Solde début période]],2)&lt;=0,0,$D$2)</f>
        <v>0</v>
      </c>
      <c r="D311" s="472">
        <f t="shared" si="20"/>
        <v>-3.5053318571102966E-14</v>
      </c>
      <c r="E311" s="472">
        <f t="shared" si="21"/>
        <v>3.5053318571102966E-14</v>
      </c>
      <c r="F311" s="470">
        <f t="shared" si="22"/>
        <v>-1.0684162757893522E-11</v>
      </c>
    </row>
    <row r="312" spans="1:6" x14ac:dyDescent="0.2">
      <c r="A312" s="496">
        <f t="shared" si="24"/>
        <v>53144</v>
      </c>
      <c r="B312" s="470">
        <f t="shared" si="23"/>
        <v>-1.0684162757893522E-11</v>
      </c>
      <c r="C312" s="472">
        <f>IF(ROUND(Tableau3626[[#This Row],[Solde début période]],2)&lt;=0,0,$D$2)</f>
        <v>0</v>
      </c>
      <c r="D312" s="472">
        <f t="shared" si="20"/>
        <v>-3.516870241139951E-14</v>
      </c>
      <c r="E312" s="472">
        <f t="shared" si="21"/>
        <v>3.516870241139951E-14</v>
      </c>
      <c r="F312" s="470">
        <f t="shared" si="22"/>
        <v>-1.0719331460304922E-11</v>
      </c>
    </row>
    <row r="313" spans="1:6" x14ac:dyDescent="0.2">
      <c r="A313" s="496">
        <f t="shared" si="24"/>
        <v>53175</v>
      </c>
      <c r="B313" s="470">
        <f t="shared" si="23"/>
        <v>-1.0719331460304922E-11</v>
      </c>
      <c r="C313" s="472">
        <f>IF(ROUND(Tableau3626[[#This Row],[Solde début période]],2)&lt;=0,0,$D$2)</f>
        <v>0</v>
      </c>
      <c r="D313" s="472">
        <f t="shared" si="20"/>
        <v>-3.5284466056837037E-14</v>
      </c>
      <c r="E313" s="472">
        <f t="shared" si="21"/>
        <v>3.5284466056837037E-14</v>
      </c>
      <c r="F313" s="470">
        <f t="shared" si="22"/>
        <v>-1.0754615926361759E-11</v>
      </c>
    </row>
    <row r="314" spans="1:6" x14ac:dyDescent="0.2">
      <c r="A314" s="496">
        <f t="shared" si="24"/>
        <v>53206</v>
      </c>
      <c r="B314" s="470">
        <f t="shared" si="23"/>
        <v>-1.0754615926361759E-11</v>
      </c>
      <c r="C314" s="472">
        <f>IF(ROUND(Tableau3626[[#This Row],[Solde début période]],2)&lt;=0,0,$D$2)</f>
        <v>0</v>
      </c>
      <c r="D314" s="472">
        <f t="shared" si="20"/>
        <v>-3.5400610757607457E-14</v>
      </c>
      <c r="E314" s="472">
        <f t="shared" si="21"/>
        <v>3.5400610757607457E-14</v>
      </c>
      <c r="F314" s="470">
        <f t="shared" si="22"/>
        <v>-1.0790016537119367E-11</v>
      </c>
    </row>
    <row r="315" spans="1:6" x14ac:dyDescent="0.2">
      <c r="A315" s="496">
        <f t="shared" si="24"/>
        <v>53236</v>
      </c>
      <c r="B315" s="470">
        <f t="shared" si="23"/>
        <v>-1.0790016537119367E-11</v>
      </c>
      <c r="C315" s="472">
        <f>IF(ROUND(Tableau3626[[#This Row],[Solde début période]],2)&lt;=0,0,$D$2)</f>
        <v>0</v>
      </c>
      <c r="D315" s="472">
        <f t="shared" si="20"/>
        <v>-3.5517137768017914E-14</v>
      </c>
      <c r="E315" s="472">
        <f t="shared" si="21"/>
        <v>3.5517137768017914E-14</v>
      </c>
      <c r="F315" s="470">
        <f t="shared" si="22"/>
        <v>-1.0825533674887385E-11</v>
      </c>
    </row>
    <row r="316" spans="1:6" x14ac:dyDescent="0.2">
      <c r="A316" s="496">
        <f t="shared" si="24"/>
        <v>53267</v>
      </c>
      <c r="B316" s="470">
        <f t="shared" si="23"/>
        <v>-1.0825533674887385E-11</v>
      </c>
      <c r="C316" s="472">
        <f>IF(ROUND(Tableau3626[[#This Row],[Solde début période]],2)&lt;=0,0,$D$2)</f>
        <v>0</v>
      </c>
      <c r="D316" s="472">
        <f t="shared" si="20"/>
        <v>-3.5634048346504305E-14</v>
      </c>
      <c r="E316" s="472">
        <f t="shared" si="21"/>
        <v>3.5634048346504305E-14</v>
      </c>
      <c r="F316" s="470">
        <f t="shared" si="22"/>
        <v>-1.0861167723233888E-11</v>
      </c>
    </row>
    <row r="317" spans="1:6" x14ac:dyDescent="0.2">
      <c r="A317" s="496">
        <f t="shared" si="24"/>
        <v>53297</v>
      </c>
      <c r="B317" s="470">
        <f t="shared" si="23"/>
        <v>-1.0861167723233888E-11</v>
      </c>
      <c r="C317" s="472">
        <f>IF(ROUND(Tableau3626[[#This Row],[Solde début période]],2)&lt;=0,0,$D$2)</f>
        <v>0</v>
      </c>
      <c r="D317" s="472">
        <f t="shared" si="20"/>
        <v>-3.5751343755644885E-14</v>
      </c>
      <c r="E317" s="472">
        <f t="shared" si="21"/>
        <v>3.5751343755644885E-14</v>
      </c>
      <c r="F317" s="470">
        <f t="shared" si="22"/>
        <v>-1.0896919066989533E-11</v>
      </c>
    </row>
    <row r="318" spans="1:6" x14ac:dyDescent="0.2">
      <c r="A318" s="496">
        <f t="shared" si="24"/>
        <v>53328</v>
      </c>
      <c r="B318" s="470">
        <f t="shared" si="23"/>
        <v>-1.0896919066989533E-11</v>
      </c>
      <c r="C318" s="472">
        <f>IF(ROUND(Tableau3626[[#This Row],[Solde début période]],2)&lt;=0,0,$D$2)</f>
        <v>0</v>
      </c>
      <c r="D318" s="472">
        <f t="shared" si="20"/>
        <v>-3.5869025262173878E-14</v>
      </c>
      <c r="E318" s="472">
        <f t="shared" si="21"/>
        <v>3.5869025262173878E-14</v>
      </c>
      <c r="F318" s="470">
        <f t="shared" si="22"/>
        <v>-1.0932788092251707E-11</v>
      </c>
    </row>
    <row r="319" spans="1:6" x14ac:dyDescent="0.2">
      <c r="A319" s="496">
        <f t="shared" si="24"/>
        <v>53359</v>
      </c>
      <c r="B319" s="470">
        <f t="shared" si="23"/>
        <v>-1.0932788092251707E-11</v>
      </c>
      <c r="C319" s="472">
        <f>IF(ROUND(Tableau3626[[#This Row],[Solde début période]],2)&lt;=0,0,$D$2)</f>
        <v>0</v>
      </c>
      <c r="D319" s="472">
        <f t="shared" si="20"/>
        <v>-3.5987094136995206E-14</v>
      </c>
      <c r="E319" s="472">
        <f t="shared" si="21"/>
        <v>3.5987094136995206E-14</v>
      </c>
      <c r="F319" s="470">
        <f t="shared" si="22"/>
        <v>-1.0968775186388702E-11</v>
      </c>
    </row>
    <row r="320" spans="1:6" x14ac:dyDescent="0.2">
      <c r="A320" s="496">
        <f t="shared" si="24"/>
        <v>53387</v>
      </c>
      <c r="B320" s="470">
        <f t="shared" si="23"/>
        <v>-1.0968775186388702E-11</v>
      </c>
      <c r="C320" s="472">
        <f>IF(ROUND(Tableau3626[[#This Row],[Solde début période]],2)&lt;=0,0,$D$2)</f>
        <v>0</v>
      </c>
      <c r="D320" s="472">
        <f t="shared" si="20"/>
        <v>-3.6105551655196146E-14</v>
      </c>
      <c r="E320" s="472">
        <f t="shared" si="21"/>
        <v>3.6105551655196146E-14</v>
      </c>
      <c r="F320" s="470">
        <f t="shared" si="22"/>
        <v>-1.1004880738043898E-11</v>
      </c>
    </row>
    <row r="321" spans="1:6" x14ac:dyDescent="0.2">
      <c r="A321" s="496">
        <f t="shared" si="24"/>
        <v>53418</v>
      </c>
      <c r="B321" s="470">
        <f t="shared" si="23"/>
        <v>-1.1004880738043898E-11</v>
      </c>
      <c r="C321" s="472">
        <f>IF(ROUND(Tableau3626[[#This Row],[Solde début période]],2)&lt;=0,0,$D$2)</f>
        <v>0</v>
      </c>
      <c r="D321" s="472">
        <f t="shared" si="20"/>
        <v>-3.6224399096061163E-14</v>
      </c>
      <c r="E321" s="472">
        <f t="shared" si="21"/>
        <v>3.6224399096061163E-14</v>
      </c>
      <c r="F321" s="470">
        <f t="shared" si="22"/>
        <v>-1.104110513713996E-11</v>
      </c>
    </row>
    <row r="322" spans="1:6" x14ac:dyDescent="0.2">
      <c r="A322" s="496">
        <f t="shared" si="24"/>
        <v>53448</v>
      </c>
      <c r="B322" s="470">
        <f t="shared" si="23"/>
        <v>-1.104110513713996E-11</v>
      </c>
      <c r="C322" s="472">
        <f>IF(ROUND(Tableau3626[[#This Row],[Solde début période]],2)&lt;=0,0,$D$2)</f>
        <v>0</v>
      </c>
      <c r="D322" s="472">
        <f t="shared" si="20"/>
        <v>-3.63436377430857E-14</v>
      </c>
      <c r="E322" s="472">
        <f t="shared" si="21"/>
        <v>3.63436377430857E-14</v>
      </c>
      <c r="F322" s="470">
        <f t="shared" si="22"/>
        <v>-1.1077448774883046E-11</v>
      </c>
    </row>
    <row r="323" spans="1:6" x14ac:dyDescent="0.2">
      <c r="A323" s="496">
        <f t="shared" si="24"/>
        <v>53479</v>
      </c>
      <c r="B323" s="470">
        <f t="shared" si="23"/>
        <v>-1.1077448774883046E-11</v>
      </c>
      <c r="C323" s="472">
        <f>IF(ROUND(Tableau3626[[#This Row],[Solde début période]],2)&lt;=0,0,$D$2)</f>
        <v>0</v>
      </c>
      <c r="D323" s="472">
        <f t="shared" si="20"/>
        <v>-3.6463268883990028E-14</v>
      </c>
      <c r="E323" s="472">
        <f t="shared" si="21"/>
        <v>3.6463268883990028E-14</v>
      </c>
      <c r="F323" s="470">
        <f t="shared" si="22"/>
        <v>-1.1113912043767036E-11</v>
      </c>
    </row>
    <row r="324" spans="1:6" x14ac:dyDescent="0.2">
      <c r="A324" s="496">
        <f t="shared" si="24"/>
        <v>53509</v>
      </c>
      <c r="B324" s="470">
        <f t="shared" si="23"/>
        <v>-1.1113912043767036E-11</v>
      </c>
      <c r="C324" s="472">
        <f>IF(ROUND(Tableau3626[[#This Row],[Solde début période]],2)&lt;=0,0,$D$2)</f>
        <v>0</v>
      </c>
      <c r="D324" s="472">
        <f t="shared" si="20"/>
        <v>-3.658329381073316E-14</v>
      </c>
      <c r="E324" s="472">
        <f t="shared" si="21"/>
        <v>3.658329381073316E-14</v>
      </c>
      <c r="F324" s="470">
        <f t="shared" si="22"/>
        <v>-1.115049533757777E-11</v>
      </c>
    </row>
    <row r="325" spans="1:6" x14ac:dyDescent="0.2">
      <c r="A325" s="496">
        <f t="shared" si="24"/>
        <v>53540</v>
      </c>
      <c r="B325" s="470">
        <f t="shared" si="23"/>
        <v>-1.115049533757777E-11</v>
      </c>
      <c r="C325" s="472">
        <f>IF(ROUND(Tableau3626[[#This Row],[Solde début période]],2)&lt;=0,0,$D$2)</f>
        <v>0</v>
      </c>
      <c r="D325" s="472">
        <f t="shared" si="20"/>
        <v>-3.6703713819526823E-14</v>
      </c>
      <c r="E325" s="472">
        <f t="shared" si="21"/>
        <v>3.6703713819526823E-14</v>
      </c>
      <c r="F325" s="470">
        <f t="shared" si="22"/>
        <v>-1.1187199051397296E-11</v>
      </c>
    </row>
    <row r="326" spans="1:6" x14ac:dyDescent="0.2">
      <c r="A326" s="496">
        <f t="shared" si="24"/>
        <v>53571</v>
      </c>
      <c r="B326" s="470">
        <f t="shared" si="23"/>
        <v>-1.1187199051397296E-11</v>
      </c>
      <c r="C326" s="472">
        <f>IF(ROUND(Tableau3626[[#This Row],[Solde début période]],2)&lt;=0,0,$D$2)</f>
        <v>0</v>
      </c>
      <c r="D326" s="472">
        <f t="shared" ref="D326:D377" si="25">B326*($B$2/12)</f>
        <v>-3.6824530210849437E-14</v>
      </c>
      <c r="E326" s="472">
        <f t="shared" ref="E326:E377" si="26">C326-D326</f>
        <v>3.6824530210849437E-14</v>
      </c>
      <c r="F326" s="470">
        <f t="shared" ref="F326:F377" si="27">B326-E326</f>
        <v>-1.1224023581608145E-11</v>
      </c>
    </row>
    <row r="327" spans="1:6" x14ac:dyDescent="0.2">
      <c r="A327" s="496">
        <f t="shared" si="24"/>
        <v>53601</v>
      </c>
      <c r="B327" s="470">
        <f t="shared" ref="B327:B377" si="28">F326</f>
        <v>-1.1224023581608145E-11</v>
      </c>
      <c r="C327" s="472">
        <f>IF(ROUND(Tableau3626[[#This Row],[Solde début période]],2)&lt;=0,0,$D$2)</f>
        <v>0</v>
      </c>
      <c r="D327" s="472">
        <f t="shared" si="25"/>
        <v>-3.6945744289460145E-14</v>
      </c>
      <c r="E327" s="472">
        <f t="shared" si="26"/>
        <v>3.6945744289460145E-14</v>
      </c>
      <c r="F327" s="470">
        <f t="shared" si="27"/>
        <v>-1.1260969325897606E-11</v>
      </c>
    </row>
    <row r="328" spans="1:6" x14ac:dyDescent="0.2">
      <c r="A328" s="496">
        <f t="shared" ref="A328:A377" si="29">EDATE(A327,1)</f>
        <v>53632</v>
      </c>
      <c r="B328" s="470">
        <f t="shared" si="28"/>
        <v>-1.1260969325897606E-11</v>
      </c>
      <c r="C328" s="472">
        <f>IF(ROUND(Tableau3626[[#This Row],[Solde début période]],2)&lt;=0,0,$D$2)</f>
        <v>0</v>
      </c>
      <c r="D328" s="472">
        <f t="shared" si="25"/>
        <v>-3.7067357364412954E-14</v>
      </c>
      <c r="E328" s="472">
        <f t="shared" si="26"/>
        <v>3.7067357364412954E-14</v>
      </c>
      <c r="F328" s="470">
        <f t="shared" si="27"/>
        <v>-1.1298036683262018E-11</v>
      </c>
    </row>
    <row r="329" spans="1:6" x14ac:dyDescent="0.2">
      <c r="A329" s="496">
        <f t="shared" si="29"/>
        <v>53662</v>
      </c>
      <c r="B329" s="470">
        <f t="shared" si="28"/>
        <v>-1.1298036683262018E-11</v>
      </c>
      <c r="C329" s="472">
        <f>IF(ROUND(Tableau3626[[#This Row],[Solde début période]],2)&lt;=0,0,$D$2)</f>
        <v>0</v>
      </c>
      <c r="D329" s="472">
        <f t="shared" si="25"/>
        <v>-3.7189370749070809E-14</v>
      </c>
      <c r="E329" s="472">
        <f t="shared" si="26"/>
        <v>3.7189370749070809E-14</v>
      </c>
      <c r="F329" s="470">
        <f t="shared" si="27"/>
        <v>-1.1335226054011089E-11</v>
      </c>
    </row>
    <row r="330" spans="1:6" x14ac:dyDescent="0.2">
      <c r="A330" s="496">
        <f t="shared" si="29"/>
        <v>53693</v>
      </c>
      <c r="B330" s="470">
        <f t="shared" si="28"/>
        <v>-1.1335226054011089E-11</v>
      </c>
      <c r="C330" s="472">
        <f>IF(ROUND(Tableau3626[[#This Row],[Solde début période]],2)&lt;=0,0,$D$2)</f>
        <v>0</v>
      </c>
      <c r="D330" s="472">
        <f t="shared" si="25"/>
        <v>-3.7311785761119837E-14</v>
      </c>
      <c r="E330" s="472">
        <f t="shared" si="26"/>
        <v>3.7311785761119837E-14</v>
      </c>
      <c r="F330" s="470">
        <f t="shared" si="27"/>
        <v>-1.1372537839772209E-11</v>
      </c>
    </row>
    <row r="331" spans="1:6" x14ac:dyDescent="0.2">
      <c r="A331" s="496">
        <f t="shared" si="29"/>
        <v>53724</v>
      </c>
      <c r="B331" s="470">
        <f t="shared" si="28"/>
        <v>-1.1372537839772209E-11</v>
      </c>
      <c r="C331" s="472">
        <f>IF(ROUND(Tableau3626[[#This Row],[Solde début période]],2)&lt;=0,0,$D$2)</f>
        <v>0</v>
      </c>
      <c r="D331" s="472">
        <f t="shared" si="25"/>
        <v>-3.7434603722583522E-14</v>
      </c>
      <c r="E331" s="472">
        <f t="shared" si="26"/>
        <v>3.7434603722583522E-14</v>
      </c>
      <c r="F331" s="470">
        <f t="shared" si="27"/>
        <v>-1.1409972443494793E-11</v>
      </c>
    </row>
    <row r="332" spans="1:6" x14ac:dyDescent="0.2">
      <c r="A332" s="496">
        <f t="shared" si="29"/>
        <v>53752</v>
      </c>
      <c r="B332" s="470">
        <f t="shared" si="28"/>
        <v>-1.1409972443494793E-11</v>
      </c>
      <c r="C332" s="472">
        <f>IF(ROUND(Tableau3626[[#This Row],[Solde début période]],2)&lt;=0,0,$D$2)</f>
        <v>0</v>
      </c>
      <c r="D332" s="472">
        <f t="shared" si="25"/>
        <v>-3.7557825959837028E-14</v>
      </c>
      <c r="E332" s="472">
        <f t="shared" si="26"/>
        <v>3.7557825959837028E-14</v>
      </c>
      <c r="F332" s="470">
        <f t="shared" si="27"/>
        <v>-1.144753026945463E-11</v>
      </c>
    </row>
    <row r="333" spans="1:6" x14ac:dyDescent="0.2">
      <c r="A333" s="496">
        <f t="shared" si="29"/>
        <v>53783</v>
      </c>
      <c r="B333" s="470">
        <f t="shared" si="28"/>
        <v>-1.144753026945463E-11</v>
      </c>
      <c r="C333" s="472">
        <f>IF(ROUND(Tableau3626[[#This Row],[Solde début période]],2)&lt;=0,0,$D$2)</f>
        <v>0</v>
      </c>
      <c r="D333" s="472">
        <f t="shared" si="25"/>
        <v>-3.768145380362149E-14</v>
      </c>
      <c r="E333" s="472">
        <f t="shared" si="26"/>
        <v>3.768145380362149E-14</v>
      </c>
      <c r="F333" s="470">
        <f t="shared" si="27"/>
        <v>-1.1485211723258252E-11</v>
      </c>
    </row>
    <row r="334" spans="1:6" x14ac:dyDescent="0.2">
      <c r="A334" s="496">
        <f t="shared" si="29"/>
        <v>53813</v>
      </c>
      <c r="B334" s="470">
        <f t="shared" si="28"/>
        <v>-1.1485211723258252E-11</v>
      </c>
      <c r="C334" s="472">
        <f>IF(ROUND(Tableau3626[[#This Row],[Solde début période]],2)&lt;=0,0,$D$2)</f>
        <v>0</v>
      </c>
      <c r="D334" s="472">
        <f t="shared" si="25"/>
        <v>-3.7805488589058414E-14</v>
      </c>
      <c r="E334" s="472">
        <f t="shared" si="26"/>
        <v>3.7805488589058414E-14</v>
      </c>
      <c r="F334" s="470">
        <f t="shared" si="27"/>
        <v>-1.152301721184731E-11</v>
      </c>
    </row>
    <row r="335" spans="1:6" x14ac:dyDescent="0.2">
      <c r="A335" s="496">
        <f t="shared" si="29"/>
        <v>53844</v>
      </c>
      <c r="B335" s="470">
        <f t="shared" si="28"/>
        <v>-1.152301721184731E-11</v>
      </c>
      <c r="C335" s="472">
        <f>IF(ROUND(Tableau3626[[#This Row],[Solde début période]],2)&lt;=0,0,$D$2)</f>
        <v>0</v>
      </c>
      <c r="D335" s="472">
        <f t="shared" si="25"/>
        <v>-3.7929931655664059E-14</v>
      </c>
      <c r="E335" s="472">
        <f t="shared" si="26"/>
        <v>3.7929931655664059E-14</v>
      </c>
      <c r="F335" s="470">
        <f t="shared" si="27"/>
        <v>-1.1560947143502974E-11</v>
      </c>
    </row>
    <row r="336" spans="1:6" x14ac:dyDescent="0.2">
      <c r="A336" s="496">
        <f t="shared" si="29"/>
        <v>53874</v>
      </c>
      <c r="B336" s="470">
        <f t="shared" si="28"/>
        <v>-1.1560947143502974E-11</v>
      </c>
      <c r="C336" s="472">
        <f>IF(ROUND(Tableau3626[[#This Row],[Solde début période]],2)&lt;=0,0,$D$2)</f>
        <v>0</v>
      </c>
      <c r="D336" s="472">
        <f t="shared" si="25"/>
        <v>-3.8054784347363953E-14</v>
      </c>
      <c r="E336" s="472">
        <f t="shared" si="26"/>
        <v>3.8054784347363953E-14</v>
      </c>
      <c r="F336" s="470">
        <f t="shared" si="27"/>
        <v>-1.1599001927850337E-11</v>
      </c>
    </row>
    <row r="337" spans="1:6" x14ac:dyDescent="0.2">
      <c r="A337" s="496">
        <f t="shared" si="29"/>
        <v>53905</v>
      </c>
      <c r="B337" s="470">
        <f t="shared" si="28"/>
        <v>-1.1599001927850337E-11</v>
      </c>
      <c r="C337" s="472">
        <f>IF(ROUND(Tableau3626[[#This Row],[Solde début période]],2)&lt;=0,0,$D$2)</f>
        <v>0</v>
      </c>
      <c r="D337" s="472">
        <f t="shared" si="25"/>
        <v>-3.8180048012507363E-14</v>
      </c>
      <c r="E337" s="472">
        <f t="shared" si="26"/>
        <v>3.8180048012507363E-14</v>
      </c>
      <c r="F337" s="470">
        <f t="shared" si="27"/>
        <v>-1.1637181975862845E-11</v>
      </c>
    </row>
    <row r="338" spans="1:6" x14ac:dyDescent="0.2">
      <c r="A338" s="496">
        <f t="shared" si="29"/>
        <v>53936</v>
      </c>
      <c r="B338" s="470">
        <f t="shared" si="28"/>
        <v>-1.1637181975862845E-11</v>
      </c>
      <c r="C338" s="472">
        <f>IF(ROUND(Tableau3626[[#This Row],[Solde début période]],2)&lt;=0,0,$D$2)</f>
        <v>0</v>
      </c>
      <c r="D338" s="472">
        <f t="shared" si="25"/>
        <v>-3.8305724003881867E-14</v>
      </c>
      <c r="E338" s="472">
        <f t="shared" si="26"/>
        <v>3.8305724003881867E-14</v>
      </c>
      <c r="F338" s="470">
        <f t="shared" si="27"/>
        <v>-1.1675487699866727E-11</v>
      </c>
    </row>
    <row r="339" spans="1:6" x14ac:dyDescent="0.2">
      <c r="A339" s="496">
        <f t="shared" si="29"/>
        <v>53966</v>
      </c>
      <c r="B339" s="470">
        <f t="shared" si="28"/>
        <v>-1.1675487699866727E-11</v>
      </c>
      <c r="C339" s="472">
        <f>IF(ROUND(Tableau3626[[#This Row],[Solde début période]],2)&lt;=0,0,$D$2)</f>
        <v>0</v>
      </c>
      <c r="D339" s="472">
        <f t="shared" si="25"/>
        <v>-3.8431813678727979E-14</v>
      </c>
      <c r="E339" s="472">
        <f t="shared" si="26"/>
        <v>3.8431813678727979E-14</v>
      </c>
      <c r="F339" s="470">
        <f t="shared" si="27"/>
        <v>-1.1713919513545454E-11</v>
      </c>
    </row>
    <row r="340" spans="1:6" x14ac:dyDescent="0.2">
      <c r="A340" s="496">
        <f t="shared" si="29"/>
        <v>53997</v>
      </c>
      <c r="B340" s="470">
        <f t="shared" si="28"/>
        <v>-1.1713919513545454E-11</v>
      </c>
      <c r="C340" s="472">
        <f>IF(ROUND(Tableau3626[[#This Row],[Solde début période]],2)&lt;=0,0,$D$2)</f>
        <v>0</v>
      </c>
      <c r="D340" s="472">
        <f t="shared" si="25"/>
        <v>-3.8558318398753784E-14</v>
      </c>
      <c r="E340" s="472">
        <f t="shared" si="26"/>
        <v>3.8558318398753784E-14</v>
      </c>
      <c r="F340" s="470">
        <f t="shared" si="27"/>
        <v>-1.1752477831944208E-11</v>
      </c>
    </row>
    <row r="341" spans="1:6" x14ac:dyDescent="0.2">
      <c r="A341" s="496">
        <f t="shared" si="29"/>
        <v>54027</v>
      </c>
      <c r="B341" s="470">
        <f t="shared" si="28"/>
        <v>-1.1752477831944208E-11</v>
      </c>
      <c r="C341" s="472">
        <f>IF(ROUND(Tableau3626[[#This Row],[Solde début période]],2)&lt;=0,0,$D$2)</f>
        <v>0</v>
      </c>
      <c r="D341" s="472">
        <f t="shared" si="25"/>
        <v>-3.8685239530149689E-14</v>
      </c>
      <c r="E341" s="472">
        <f t="shared" si="26"/>
        <v>3.8685239530149689E-14</v>
      </c>
      <c r="F341" s="470">
        <f t="shared" si="27"/>
        <v>-1.1791163071474358E-11</v>
      </c>
    </row>
    <row r="342" spans="1:6" x14ac:dyDescent="0.2">
      <c r="A342" s="496">
        <f t="shared" si="29"/>
        <v>54058</v>
      </c>
      <c r="B342" s="470">
        <f t="shared" si="28"/>
        <v>-1.1791163071474358E-11</v>
      </c>
      <c r="C342" s="472">
        <f>IF(ROUND(Tableau3626[[#This Row],[Solde début période]],2)&lt;=0,0,$D$2)</f>
        <v>0</v>
      </c>
      <c r="D342" s="472">
        <f t="shared" si="25"/>
        <v>-3.8812578443603097E-14</v>
      </c>
      <c r="E342" s="472">
        <f t="shared" si="26"/>
        <v>3.8812578443603097E-14</v>
      </c>
      <c r="F342" s="470">
        <f t="shared" si="27"/>
        <v>-1.182997564991796E-11</v>
      </c>
    </row>
    <row r="343" spans="1:6" x14ac:dyDescent="0.2">
      <c r="A343" s="496">
        <f t="shared" si="29"/>
        <v>54089</v>
      </c>
      <c r="B343" s="470">
        <f t="shared" si="28"/>
        <v>-1.182997564991796E-11</v>
      </c>
      <c r="C343" s="472">
        <f>IF(ROUND(Tableau3626[[#This Row],[Solde début période]],2)&lt;=0,0,$D$2)</f>
        <v>0</v>
      </c>
      <c r="D343" s="472">
        <f t="shared" si="25"/>
        <v>-3.894033651431329E-14</v>
      </c>
      <c r="E343" s="472">
        <f t="shared" si="26"/>
        <v>3.894033651431329E-14</v>
      </c>
      <c r="F343" s="470">
        <f t="shared" si="27"/>
        <v>-1.1868915986432273E-11</v>
      </c>
    </row>
    <row r="344" spans="1:6" x14ac:dyDescent="0.2">
      <c r="A344" s="496">
        <f t="shared" si="29"/>
        <v>54118</v>
      </c>
      <c r="B344" s="470">
        <f t="shared" si="28"/>
        <v>-1.1868915986432273E-11</v>
      </c>
      <c r="C344" s="472">
        <f>IF(ROUND(Tableau3626[[#This Row],[Solde début période]],2)&lt;=0,0,$D$2)</f>
        <v>0</v>
      </c>
      <c r="D344" s="472">
        <f t="shared" si="25"/>
        <v>-3.9068515122006231E-14</v>
      </c>
      <c r="E344" s="472">
        <f t="shared" si="26"/>
        <v>3.9068515122006231E-14</v>
      </c>
      <c r="F344" s="470">
        <f t="shared" si="27"/>
        <v>-1.1907984501554279E-11</v>
      </c>
    </row>
    <row r="345" spans="1:6" x14ac:dyDescent="0.2">
      <c r="A345" s="496">
        <f t="shared" si="29"/>
        <v>54149</v>
      </c>
      <c r="B345" s="470">
        <f t="shared" si="28"/>
        <v>-1.1907984501554279E-11</v>
      </c>
      <c r="C345" s="472">
        <f>IF(ROUND(Tableau3626[[#This Row],[Solde début période]],2)&lt;=0,0,$D$2)</f>
        <v>0</v>
      </c>
      <c r="D345" s="472">
        <f t="shared" si="25"/>
        <v>-3.9197115650949504E-14</v>
      </c>
      <c r="E345" s="472">
        <f t="shared" si="26"/>
        <v>3.9197115650949504E-14</v>
      </c>
      <c r="F345" s="470">
        <f t="shared" si="27"/>
        <v>-1.1947181617205229E-11</v>
      </c>
    </row>
    <row r="346" spans="1:6" x14ac:dyDescent="0.2">
      <c r="A346" s="496">
        <f t="shared" si="29"/>
        <v>54179</v>
      </c>
      <c r="B346" s="470">
        <f t="shared" si="28"/>
        <v>-1.1947181617205229E-11</v>
      </c>
      <c r="C346" s="472">
        <f>IF(ROUND(Tableau3626[[#This Row],[Solde début période]],2)&lt;=0,0,$D$2)</f>
        <v>0</v>
      </c>
      <c r="D346" s="472">
        <f t="shared" si="25"/>
        <v>-3.9326139489967209E-14</v>
      </c>
      <c r="E346" s="472">
        <f t="shared" si="26"/>
        <v>3.9326139489967209E-14</v>
      </c>
      <c r="F346" s="470">
        <f t="shared" si="27"/>
        <v>-1.1986507756695196E-11</v>
      </c>
    </row>
    <row r="347" spans="1:6" x14ac:dyDescent="0.2">
      <c r="A347" s="496">
        <f t="shared" si="29"/>
        <v>54210</v>
      </c>
      <c r="B347" s="470">
        <f t="shared" si="28"/>
        <v>-1.1986507756695196E-11</v>
      </c>
      <c r="C347" s="472">
        <f>IF(ROUND(Tableau3626[[#This Row],[Solde début période]],2)&lt;=0,0,$D$2)</f>
        <v>0</v>
      </c>
      <c r="D347" s="472">
        <f t="shared" si="25"/>
        <v>-3.9455588032455021E-14</v>
      </c>
      <c r="E347" s="472">
        <f t="shared" si="26"/>
        <v>3.9455588032455021E-14</v>
      </c>
      <c r="F347" s="470">
        <f t="shared" si="27"/>
        <v>-1.2025963344727651E-11</v>
      </c>
    </row>
    <row r="348" spans="1:6" x14ac:dyDescent="0.2">
      <c r="A348" s="496">
        <f t="shared" si="29"/>
        <v>54240</v>
      </c>
      <c r="B348" s="470">
        <f t="shared" si="28"/>
        <v>-1.2025963344727651E-11</v>
      </c>
      <c r="C348" s="472">
        <f>IF(ROUND(Tableau3626[[#This Row],[Solde début période]],2)&lt;=0,0,$D$2)</f>
        <v>0</v>
      </c>
      <c r="D348" s="472">
        <f t="shared" si="25"/>
        <v>-3.9585462676395185E-14</v>
      </c>
      <c r="E348" s="472">
        <f t="shared" si="26"/>
        <v>3.9585462676395185E-14</v>
      </c>
      <c r="F348" s="470">
        <f t="shared" si="27"/>
        <v>-1.2065548807404046E-11</v>
      </c>
    </row>
    <row r="349" spans="1:6" x14ac:dyDescent="0.2">
      <c r="A349" s="496">
        <f t="shared" si="29"/>
        <v>54271</v>
      </c>
      <c r="B349" s="470">
        <f t="shared" si="28"/>
        <v>-1.2065548807404046E-11</v>
      </c>
      <c r="C349" s="472">
        <f>IF(ROUND(Tableau3626[[#This Row],[Solde début période]],2)&lt;=0,0,$D$2)</f>
        <v>0</v>
      </c>
      <c r="D349" s="472">
        <f t="shared" si="25"/>
        <v>-3.9715764824371655E-14</v>
      </c>
      <c r="E349" s="472">
        <f t="shared" si="26"/>
        <v>3.9715764824371655E-14</v>
      </c>
      <c r="F349" s="470">
        <f t="shared" si="27"/>
        <v>-1.2105264572228418E-11</v>
      </c>
    </row>
    <row r="350" spans="1:6" x14ac:dyDescent="0.2">
      <c r="A350" s="496">
        <f t="shared" si="29"/>
        <v>54302</v>
      </c>
      <c r="B350" s="470">
        <f t="shared" si="28"/>
        <v>-1.2105264572228418E-11</v>
      </c>
      <c r="C350" s="472">
        <f>IF(ROUND(Tableau3626[[#This Row],[Solde début période]],2)&lt;=0,0,$D$2)</f>
        <v>0</v>
      </c>
      <c r="D350" s="472">
        <f t="shared" si="25"/>
        <v>-3.984649588358521E-14</v>
      </c>
      <c r="E350" s="472">
        <f t="shared" si="26"/>
        <v>3.984649588358521E-14</v>
      </c>
      <c r="F350" s="470">
        <f t="shared" si="27"/>
        <v>-1.2145111068112003E-11</v>
      </c>
    </row>
    <row r="351" spans="1:6" x14ac:dyDescent="0.2">
      <c r="A351" s="496">
        <f t="shared" si="29"/>
        <v>54332</v>
      </c>
      <c r="B351" s="470">
        <f t="shared" si="28"/>
        <v>-1.2145111068112003E-11</v>
      </c>
      <c r="C351" s="472">
        <f>IF(ROUND(Tableau3626[[#This Row],[Solde début période]],2)&lt;=0,0,$D$2)</f>
        <v>0</v>
      </c>
      <c r="D351" s="472">
        <f t="shared" si="25"/>
        <v>-3.9977657265868676E-14</v>
      </c>
      <c r="E351" s="472">
        <f t="shared" si="26"/>
        <v>3.9977657265868676E-14</v>
      </c>
      <c r="F351" s="470">
        <f t="shared" si="27"/>
        <v>-1.2185088725377871E-11</v>
      </c>
    </row>
    <row r="352" spans="1:6" x14ac:dyDescent="0.2">
      <c r="A352" s="496">
        <f t="shared" si="29"/>
        <v>54363</v>
      </c>
      <c r="B352" s="470">
        <f t="shared" si="28"/>
        <v>-1.2185088725377871E-11</v>
      </c>
      <c r="C352" s="472">
        <f>IF(ROUND(Tableau3626[[#This Row],[Solde début période]],2)&lt;=0,0,$D$2)</f>
        <v>0</v>
      </c>
      <c r="D352" s="472">
        <f t="shared" si="25"/>
        <v>-4.0109250387702158E-14</v>
      </c>
      <c r="E352" s="472">
        <f t="shared" si="26"/>
        <v>4.0109250387702158E-14</v>
      </c>
      <c r="F352" s="470">
        <f t="shared" si="27"/>
        <v>-1.2225197975765574E-11</v>
      </c>
    </row>
    <row r="353" spans="1:6" x14ac:dyDescent="0.2">
      <c r="A353" s="496">
        <f t="shared" si="29"/>
        <v>54393</v>
      </c>
      <c r="B353" s="470">
        <f t="shared" si="28"/>
        <v>-1.2225197975765574E-11</v>
      </c>
      <c r="C353" s="472">
        <f>IF(ROUND(Tableau3626[[#This Row],[Solde début période]],2)&lt;=0,0,$D$2)</f>
        <v>0</v>
      </c>
      <c r="D353" s="472">
        <f t="shared" si="25"/>
        <v>-4.0241276670228346E-14</v>
      </c>
      <c r="E353" s="472">
        <f t="shared" si="26"/>
        <v>4.0241276670228346E-14</v>
      </c>
      <c r="F353" s="470">
        <f t="shared" si="27"/>
        <v>-1.2265439252435802E-11</v>
      </c>
    </row>
    <row r="354" spans="1:6" x14ac:dyDescent="0.2">
      <c r="A354" s="496">
        <f t="shared" si="29"/>
        <v>54424</v>
      </c>
      <c r="B354" s="470">
        <f t="shared" si="28"/>
        <v>-1.2265439252435802E-11</v>
      </c>
      <c r="C354" s="472">
        <f>IF(ROUND(Tableau3626[[#This Row],[Solde début période]],2)&lt;=0,0,$D$2)</f>
        <v>0</v>
      </c>
      <c r="D354" s="472">
        <f t="shared" si="25"/>
        <v>-4.037373753926785E-14</v>
      </c>
      <c r="E354" s="472">
        <f t="shared" si="26"/>
        <v>4.037373753926785E-14</v>
      </c>
      <c r="F354" s="470">
        <f t="shared" si="27"/>
        <v>-1.2305812989975069E-11</v>
      </c>
    </row>
    <row r="355" spans="1:6" x14ac:dyDescent="0.2">
      <c r="A355" s="496">
        <f t="shared" si="29"/>
        <v>54455</v>
      </c>
      <c r="B355" s="470">
        <f t="shared" si="28"/>
        <v>-1.2305812989975069E-11</v>
      </c>
      <c r="C355" s="472">
        <f>IF(ROUND(Tableau3626[[#This Row],[Solde début période]],2)&lt;=0,0,$D$2)</f>
        <v>0</v>
      </c>
      <c r="D355" s="472">
        <f t="shared" si="25"/>
        <v>-4.0506634425334605E-14</v>
      </c>
      <c r="E355" s="472">
        <f t="shared" si="26"/>
        <v>4.0506634425334605E-14</v>
      </c>
      <c r="F355" s="470">
        <f t="shared" si="27"/>
        <v>-1.2346319624400404E-11</v>
      </c>
    </row>
    <row r="356" spans="1:6" x14ac:dyDescent="0.2">
      <c r="A356" s="496">
        <f t="shared" si="29"/>
        <v>54483</v>
      </c>
      <c r="B356" s="470">
        <f t="shared" si="28"/>
        <v>-1.2346319624400404E-11</v>
      </c>
      <c r="C356" s="472">
        <f>IF(ROUND(Tableau3626[[#This Row],[Solde début période]],2)&lt;=0,0,$D$2)</f>
        <v>0</v>
      </c>
      <c r="D356" s="472">
        <f t="shared" si="25"/>
        <v>-4.0639968763651331E-14</v>
      </c>
      <c r="E356" s="472">
        <f t="shared" si="26"/>
        <v>4.0639968763651331E-14</v>
      </c>
      <c r="F356" s="470">
        <f t="shared" si="27"/>
        <v>-1.2386959593164056E-11</v>
      </c>
    </row>
    <row r="357" spans="1:6" x14ac:dyDescent="0.2">
      <c r="A357" s="496">
        <f t="shared" si="29"/>
        <v>54514</v>
      </c>
      <c r="B357" s="470">
        <f t="shared" si="28"/>
        <v>-1.2386959593164056E-11</v>
      </c>
      <c r="C357" s="472">
        <f>IF(ROUND(Tableau3626[[#This Row],[Solde début période]],2)&lt;=0,0,$D$2)</f>
        <v>0</v>
      </c>
      <c r="D357" s="472">
        <f t="shared" si="25"/>
        <v>-4.0773741994165018E-14</v>
      </c>
      <c r="E357" s="472">
        <f t="shared" si="26"/>
        <v>4.0773741994165018E-14</v>
      </c>
      <c r="F357" s="470">
        <f t="shared" si="27"/>
        <v>-1.2427733335158221E-11</v>
      </c>
    </row>
    <row r="358" spans="1:6" x14ac:dyDescent="0.2">
      <c r="A358" s="496">
        <f t="shared" si="29"/>
        <v>54544</v>
      </c>
      <c r="B358" s="470">
        <f t="shared" si="28"/>
        <v>-1.2427733335158221E-11</v>
      </c>
      <c r="C358" s="472">
        <f>IF(ROUND(Tableau3626[[#This Row],[Solde début période]],2)&lt;=0,0,$D$2)</f>
        <v>0</v>
      </c>
      <c r="D358" s="472">
        <f t="shared" si="25"/>
        <v>-4.0907955561562476E-14</v>
      </c>
      <c r="E358" s="472">
        <f t="shared" si="26"/>
        <v>4.0907955561562476E-14</v>
      </c>
      <c r="F358" s="470">
        <f t="shared" si="27"/>
        <v>-1.2468641290719784E-11</v>
      </c>
    </row>
    <row r="359" spans="1:6" x14ac:dyDescent="0.2">
      <c r="A359" s="496">
        <f t="shared" si="29"/>
        <v>54575</v>
      </c>
      <c r="B359" s="470">
        <f t="shared" si="28"/>
        <v>-1.2468641290719784E-11</v>
      </c>
      <c r="C359" s="472">
        <f>IF(ROUND(Tableau3626[[#This Row],[Solde début période]],2)&lt;=0,0,$D$2)</f>
        <v>0</v>
      </c>
      <c r="D359" s="472">
        <f t="shared" si="25"/>
        <v>-4.1042610915285955E-14</v>
      </c>
      <c r="E359" s="472">
        <f t="shared" si="26"/>
        <v>4.1042610915285955E-14</v>
      </c>
      <c r="F359" s="470">
        <f t="shared" si="27"/>
        <v>-1.250968390163507E-11</v>
      </c>
    </row>
    <row r="360" spans="1:6" x14ac:dyDescent="0.2">
      <c r="A360" s="496">
        <f t="shared" si="29"/>
        <v>54605</v>
      </c>
      <c r="B360" s="470">
        <f t="shared" si="28"/>
        <v>-1.250968390163507E-11</v>
      </c>
      <c r="C360" s="472">
        <f>IF(ROUND(Tableau3626[[#This Row],[Solde début période]],2)&lt;=0,0,$D$2)</f>
        <v>0</v>
      </c>
      <c r="D360" s="472">
        <f t="shared" si="25"/>
        <v>-4.1177709509548776E-14</v>
      </c>
      <c r="E360" s="472">
        <f t="shared" si="26"/>
        <v>4.1177709509548776E-14</v>
      </c>
      <c r="F360" s="470">
        <f t="shared" si="27"/>
        <v>-1.2550861611144618E-11</v>
      </c>
    </row>
    <row r="361" spans="1:6" x14ac:dyDescent="0.2">
      <c r="A361" s="496">
        <f t="shared" si="29"/>
        <v>54636</v>
      </c>
      <c r="B361" s="470">
        <f t="shared" si="28"/>
        <v>-1.2550861611144618E-11</v>
      </c>
      <c r="C361" s="472">
        <f>IF(ROUND(Tableau3626[[#This Row],[Solde début période]],2)&lt;=0,0,$D$2)</f>
        <v>0</v>
      </c>
      <c r="D361" s="472">
        <f t="shared" si="25"/>
        <v>-4.1313252803351035E-14</v>
      </c>
      <c r="E361" s="472">
        <f t="shared" si="26"/>
        <v>4.1313252803351035E-14</v>
      </c>
      <c r="F361" s="470">
        <f t="shared" si="27"/>
        <v>-1.259217486394797E-11</v>
      </c>
    </row>
    <row r="362" spans="1:6" x14ac:dyDescent="0.2">
      <c r="A362" s="496">
        <f t="shared" si="29"/>
        <v>54667</v>
      </c>
      <c r="B362" s="470">
        <f t="shared" si="28"/>
        <v>-1.259217486394797E-11</v>
      </c>
      <c r="C362" s="472">
        <f>IF(ROUND(Tableau3626[[#This Row],[Solde début période]],2)&lt;=0,0,$D$2)</f>
        <v>0</v>
      </c>
      <c r="D362" s="472">
        <f t="shared" si="25"/>
        <v>-4.1449242260495402E-14</v>
      </c>
      <c r="E362" s="472">
        <f t="shared" si="26"/>
        <v>4.1449242260495402E-14</v>
      </c>
      <c r="F362" s="470">
        <f t="shared" si="27"/>
        <v>-1.2633624106208465E-11</v>
      </c>
    </row>
    <row r="363" spans="1:6" x14ac:dyDescent="0.2">
      <c r="A363" s="496">
        <f t="shared" si="29"/>
        <v>54697</v>
      </c>
      <c r="B363" s="470">
        <f t="shared" si="28"/>
        <v>-1.2633624106208465E-11</v>
      </c>
      <c r="C363" s="472">
        <f>IF(ROUND(Tableau3626[[#This Row],[Solde début période]],2)&lt;=0,0,$D$2)</f>
        <v>0</v>
      </c>
      <c r="D363" s="472">
        <f t="shared" si="25"/>
        <v>-4.1585679349602862E-14</v>
      </c>
      <c r="E363" s="472">
        <f t="shared" si="26"/>
        <v>4.1585679349602862E-14</v>
      </c>
      <c r="F363" s="470">
        <f t="shared" si="27"/>
        <v>-1.2675209785558067E-11</v>
      </c>
    </row>
    <row r="364" spans="1:6" x14ac:dyDescent="0.2">
      <c r="A364" s="496">
        <f t="shared" si="29"/>
        <v>54728</v>
      </c>
      <c r="B364" s="470">
        <f t="shared" si="28"/>
        <v>-1.2675209785558067E-11</v>
      </c>
      <c r="C364" s="472">
        <f>IF(ROUND(Tableau3626[[#This Row],[Solde début période]],2)&lt;=0,0,$D$2)</f>
        <v>0</v>
      </c>
      <c r="D364" s="472">
        <f t="shared" si="25"/>
        <v>-4.1722565544128639E-14</v>
      </c>
      <c r="E364" s="472">
        <f t="shared" si="26"/>
        <v>4.1722565544128639E-14</v>
      </c>
      <c r="F364" s="470">
        <f t="shared" si="27"/>
        <v>-1.2716932351102196E-11</v>
      </c>
    </row>
    <row r="365" spans="1:6" x14ac:dyDescent="0.2">
      <c r="A365" s="496">
        <f t="shared" si="29"/>
        <v>54758</v>
      </c>
      <c r="B365" s="470">
        <f t="shared" si="28"/>
        <v>-1.2716932351102196E-11</v>
      </c>
      <c r="C365" s="472">
        <f>IF(ROUND(Tableau3626[[#This Row],[Solde début période]],2)&lt;=0,0,$D$2)</f>
        <v>0</v>
      </c>
      <c r="D365" s="472">
        <f t="shared" si="25"/>
        <v>-4.1859902322378065E-14</v>
      </c>
      <c r="E365" s="472">
        <f t="shared" si="26"/>
        <v>4.1859902322378065E-14</v>
      </c>
      <c r="F365" s="470">
        <f t="shared" si="27"/>
        <v>-1.2758792253424573E-11</v>
      </c>
    </row>
    <row r="366" spans="1:6" x14ac:dyDescent="0.2">
      <c r="A366" s="496">
        <f t="shared" si="29"/>
        <v>54789</v>
      </c>
      <c r="B366" s="470">
        <f t="shared" si="28"/>
        <v>-1.2758792253424573E-11</v>
      </c>
      <c r="C366" s="472">
        <f>IF(ROUND(Tableau3626[[#This Row],[Solde début période]],2)&lt;=0,0,$D$2)</f>
        <v>0</v>
      </c>
      <c r="D366" s="472">
        <f t="shared" si="25"/>
        <v>-4.1997691167522556E-14</v>
      </c>
      <c r="E366" s="472">
        <f t="shared" si="26"/>
        <v>4.1997691167522556E-14</v>
      </c>
      <c r="F366" s="470">
        <f t="shared" si="27"/>
        <v>-1.2800789944592096E-11</v>
      </c>
    </row>
    <row r="367" spans="1:6" x14ac:dyDescent="0.2">
      <c r="A367" s="496">
        <f t="shared" si="29"/>
        <v>54820</v>
      </c>
      <c r="B367" s="470">
        <f t="shared" si="28"/>
        <v>-1.2800789944592096E-11</v>
      </c>
      <c r="C367" s="472">
        <f>IF(ROUND(Tableau3626[[#This Row],[Solde début période]],2)&lt;=0,0,$D$2)</f>
        <v>0</v>
      </c>
      <c r="D367" s="472">
        <f t="shared" si="25"/>
        <v>-4.2135933567615648E-14</v>
      </c>
      <c r="E367" s="472">
        <f t="shared" si="26"/>
        <v>4.2135933567615648E-14</v>
      </c>
      <c r="F367" s="470">
        <f t="shared" si="27"/>
        <v>-1.2842925878159711E-11</v>
      </c>
    </row>
    <row r="368" spans="1:6" x14ac:dyDescent="0.2">
      <c r="A368" s="496">
        <f t="shared" si="29"/>
        <v>54848</v>
      </c>
      <c r="B368" s="470">
        <f t="shared" si="28"/>
        <v>-1.2842925878159711E-11</v>
      </c>
      <c r="C368" s="472">
        <f>IF(ROUND(Tableau3626[[#This Row],[Solde début période]],2)&lt;=0,0,$D$2)</f>
        <v>0</v>
      </c>
      <c r="D368" s="472">
        <f t="shared" si="25"/>
        <v>-4.2274631015609051E-14</v>
      </c>
      <c r="E368" s="472">
        <f t="shared" si="26"/>
        <v>4.2274631015609051E-14</v>
      </c>
      <c r="F368" s="470">
        <f t="shared" si="27"/>
        <v>-1.288520050917532E-11</v>
      </c>
    </row>
    <row r="369" spans="1:6" x14ac:dyDescent="0.2">
      <c r="A369" s="496">
        <f t="shared" si="29"/>
        <v>54879</v>
      </c>
      <c r="B369" s="470">
        <f t="shared" si="28"/>
        <v>-1.288520050917532E-11</v>
      </c>
      <c r="C369" s="472">
        <f>IF(ROUND(Tableau3626[[#This Row],[Solde début période]],2)&lt;=0,0,$D$2)</f>
        <v>0</v>
      </c>
      <c r="D369" s="472">
        <f t="shared" si="25"/>
        <v>-4.2413785009368764E-14</v>
      </c>
      <c r="E369" s="472">
        <f t="shared" si="26"/>
        <v>4.2413785009368764E-14</v>
      </c>
      <c r="F369" s="470">
        <f t="shared" si="27"/>
        <v>-1.2927614294184689E-11</v>
      </c>
    </row>
    <row r="370" spans="1:6" x14ac:dyDescent="0.2">
      <c r="A370" s="496">
        <f t="shared" si="29"/>
        <v>54909</v>
      </c>
      <c r="B370" s="470">
        <f t="shared" si="28"/>
        <v>-1.2927614294184689E-11</v>
      </c>
      <c r="C370" s="472">
        <f>IF(ROUND(Tableau3626[[#This Row],[Solde début période]],2)&lt;=0,0,$D$2)</f>
        <v>0</v>
      </c>
      <c r="D370" s="472">
        <f t="shared" si="25"/>
        <v>-4.2553397051691272E-14</v>
      </c>
      <c r="E370" s="472">
        <f t="shared" si="26"/>
        <v>4.2553397051691272E-14</v>
      </c>
      <c r="F370" s="470">
        <f t="shared" si="27"/>
        <v>-1.2970167691236381E-11</v>
      </c>
    </row>
    <row r="371" spans="1:6" x14ac:dyDescent="0.2">
      <c r="A371" s="496">
        <f t="shared" si="29"/>
        <v>54940</v>
      </c>
      <c r="B371" s="470">
        <f t="shared" si="28"/>
        <v>-1.2970167691236381E-11</v>
      </c>
      <c r="C371" s="472">
        <f>IF(ROUND(Tableau3626[[#This Row],[Solde début période]],2)&lt;=0,0,$D$2)</f>
        <v>0</v>
      </c>
      <c r="D371" s="472">
        <f t="shared" si="25"/>
        <v>-4.2693468650319758E-14</v>
      </c>
      <c r="E371" s="472">
        <f t="shared" si="26"/>
        <v>4.2693468650319758E-14</v>
      </c>
      <c r="F371" s="470">
        <f t="shared" si="27"/>
        <v>-1.3012861159886701E-11</v>
      </c>
    </row>
    <row r="372" spans="1:6" x14ac:dyDescent="0.2">
      <c r="A372" s="496">
        <f t="shared" si="29"/>
        <v>54970</v>
      </c>
      <c r="B372" s="470">
        <f t="shared" si="28"/>
        <v>-1.3012861159886701E-11</v>
      </c>
      <c r="C372" s="472">
        <f>IF(ROUND(Tableau3626[[#This Row],[Solde début période]],2)&lt;=0,0,$D$2)</f>
        <v>0</v>
      </c>
      <c r="D372" s="472">
        <f t="shared" si="25"/>
        <v>-4.2834001317960389E-14</v>
      </c>
      <c r="E372" s="472">
        <f t="shared" si="26"/>
        <v>4.2834001317960389E-14</v>
      </c>
      <c r="F372" s="470">
        <f t="shared" si="27"/>
        <v>-1.3055695161204662E-11</v>
      </c>
    </row>
    <row r="373" spans="1:6" x14ac:dyDescent="0.2">
      <c r="A373" s="496">
        <f t="shared" si="29"/>
        <v>55001</v>
      </c>
      <c r="B373" s="470">
        <f t="shared" si="28"/>
        <v>-1.3055695161204662E-11</v>
      </c>
      <c r="C373" s="472">
        <f>IF(ROUND(Tableau3626[[#This Row],[Solde début période]],2)&lt;=0,0,$D$2)</f>
        <v>0</v>
      </c>
      <c r="D373" s="472">
        <f t="shared" si="25"/>
        <v>-4.2974996572298678E-14</v>
      </c>
      <c r="E373" s="472">
        <f t="shared" si="26"/>
        <v>4.2974996572298678E-14</v>
      </c>
      <c r="F373" s="470">
        <f t="shared" si="27"/>
        <v>-1.309867015777696E-11</v>
      </c>
    </row>
    <row r="374" spans="1:6" x14ac:dyDescent="0.2">
      <c r="A374" s="496">
        <f t="shared" si="29"/>
        <v>55032</v>
      </c>
      <c r="B374" s="470">
        <f t="shared" si="28"/>
        <v>-1.309867015777696E-11</v>
      </c>
      <c r="C374" s="472">
        <f>IF(ROUND(Tableau3626[[#This Row],[Solde début période]],2)&lt;=0,0,$D$2)</f>
        <v>0</v>
      </c>
      <c r="D374" s="472">
        <f t="shared" si="25"/>
        <v>-4.3116455936015824E-14</v>
      </c>
      <c r="E374" s="472">
        <f t="shared" si="26"/>
        <v>4.3116455936015824E-14</v>
      </c>
      <c r="F374" s="470">
        <f t="shared" si="27"/>
        <v>-1.3141786613712976E-11</v>
      </c>
    </row>
    <row r="375" spans="1:6" x14ac:dyDescent="0.2">
      <c r="A375" s="496">
        <f t="shared" si="29"/>
        <v>55062</v>
      </c>
      <c r="B375" s="470">
        <f t="shared" si="28"/>
        <v>-1.3141786613712976E-11</v>
      </c>
      <c r="C375" s="472">
        <f>IF(ROUND(Tableau3626[[#This Row],[Solde début période]],2)&lt;=0,0,$D$2)</f>
        <v>0</v>
      </c>
      <c r="D375" s="472">
        <f t="shared" si="25"/>
        <v>-4.3258380936805216E-14</v>
      </c>
      <c r="E375" s="472">
        <f t="shared" si="26"/>
        <v>4.3258380936805216E-14</v>
      </c>
      <c r="F375" s="470">
        <f t="shared" si="27"/>
        <v>-1.3185044994649781E-11</v>
      </c>
    </row>
    <row r="376" spans="1:6" x14ac:dyDescent="0.2">
      <c r="A376" s="496">
        <f t="shared" si="29"/>
        <v>55093</v>
      </c>
      <c r="B376" s="470">
        <f t="shared" si="28"/>
        <v>-1.3185044994649781E-11</v>
      </c>
      <c r="C376" s="472">
        <f>IF(ROUND(Tableau3626[[#This Row],[Solde début période]],2)&lt;=0,0,$D$2)</f>
        <v>0</v>
      </c>
      <c r="D376" s="472">
        <f t="shared" si="25"/>
        <v>-4.3400773107388862E-14</v>
      </c>
      <c r="E376" s="472">
        <f t="shared" si="26"/>
        <v>4.3400773107388862E-14</v>
      </c>
      <c r="F376" s="470">
        <f t="shared" si="27"/>
        <v>-1.3228445767757169E-11</v>
      </c>
    </row>
    <row r="377" spans="1:6" x14ac:dyDescent="0.2">
      <c r="A377" s="496">
        <f t="shared" si="29"/>
        <v>55123</v>
      </c>
      <c r="B377" s="470">
        <f t="shared" si="28"/>
        <v>-1.3228445767757169E-11</v>
      </c>
      <c r="C377" s="472">
        <f>IF(ROUND(Tableau3626[[#This Row],[Solde début période]],2)&lt;=0,0,$D$2)</f>
        <v>0</v>
      </c>
      <c r="D377" s="472">
        <f t="shared" si="25"/>
        <v>-4.3543633985534013E-14</v>
      </c>
      <c r="E377" s="472">
        <f t="shared" si="26"/>
        <v>4.3543633985534013E-14</v>
      </c>
      <c r="F377" s="470">
        <f t="shared" si="27"/>
        <v>-1.3271989401742703E-11</v>
      </c>
    </row>
  </sheetData>
  <sheetProtection algorithmName="SHA-512" hashValue="FfdvGvsJJkiiIt82pvT9CS30ZwpECYmR6qOAhXTQNyeEQ051FfGPnvPdjevwIw1I6Tfu2YTqpvfj4nrL6SQ3bw==" saltValue="ndSEJC3lye8jp8f7nH1oOQ==" spinCount="100000" sheet="1" objects="1" scenarios="1" selectLockedCells="1"/>
  <scenarios current="0">
    <scenario name="Paiement" count="1" user="Maxime Montambeault" comment="Créé par Maxime Montambeault le 2016-04-09">
      <inputCells r="D2" val="71"/>
    </scenario>
  </scenarios>
  <mergeCells count="3">
    <mergeCell ref="E1:F1"/>
    <mergeCell ref="E2:F2"/>
    <mergeCell ref="A4:F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5AC9-3FF4-41AC-9FF6-DF6DA0C6477C}">
  <sheetPr codeName="Feuil25"/>
  <dimension ref="A1:H61"/>
  <sheetViews>
    <sheetView zoomScaleNormal="100" workbookViewId="0">
      <pane xSplit="1" ySplit="1" topLeftCell="B38" activePane="bottomRight" state="frozen"/>
      <selection activeCell="B16" sqref="B16:F17"/>
      <selection pane="topRight" activeCell="B16" sqref="B16:F17"/>
      <selection pane="bottomLeft" activeCell="B16" sqref="B16:F17"/>
      <selection pane="bottomRight" activeCell="B16" sqref="B16:F17"/>
    </sheetView>
  </sheetViews>
  <sheetFormatPr baseColWidth="10" defaultColWidth="11.59765625" defaultRowHeight="21" x14ac:dyDescent="0.25"/>
  <cols>
    <col min="1" max="1" width="50.59765625" style="26" customWidth="1"/>
    <col min="2" max="4" width="20.59765625" style="174" customWidth="1"/>
    <col min="5" max="5" width="12" style="171" customWidth="1"/>
    <col min="6" max="6" width="17" style="26" bestFit="1" customWidth="1"/>
    <col min="7" max="7" width="32.3984375" style="26" customWidth="1"/>
    <col min="8" max="8" width="22" style="26" customWidth="1"/>
    <col min="9" max="16384" width="11.59765625" style="26"/>
  </cols>
  <sheetData>
    <row r="1" spans="1:5" s="25" customFormat="1" ht="44" x14ac:dyDescent="0.25">
      <c r="A1" s="24"/>
      <c r="B1" s="172" t="s">
        <v>143</v>
      </c>
      <c r="C1" s="173" t="s">
        <v>144</v>
      </c>
      <c r="D1" s="173" t="s">
        <v>145</v>
      </c>
      <c r="E1" s="170" t="s">
        <v>146</v>
      </c>
    </row>
    <row r="3" spans="1:5" ht="24" x14ac:dyDescent="0.3">
      <c r="A3" s="154" t="s">
        <v>147</v>
      </c>
    </row>
    <row r="4" spans="1:5" x14ac:dyDescent="0.25">
      <c r="A4" s="26" t="s">
        <v>148</v>
      </c>
      <c r="B4" s="175">
        <v>1000</v>
      </c>
      <c r="C4" s="175">
        <f t="shared" ref="C4:C6" si="0">B4*26/12</f>
        <v>2166.6666666666665</v>
      </c>
      <c r="D4" s="175">
        <f>+C4*12</f>
        <v>26000</v>
      </c>
      <c r="E4" s="171">
        <f>+D4/$D$8</f>
        <v>1</v>
      </c>
    </row>
    <row r="5" spans="1:5" x14ac:dyDescent="0.25">
      <c r="A5" s="26" t="s">
        <v>148</v>
      </c>
      <c r="B5" s="175">
        <v>0</v>
      </c>
      <c r="C5" s="175">
        <f t="shared" si="0"/>
        <v>0</v>
      </c>
      <c r="D5" s="175">
        <f t="shared" ref="D5:D6" si="1">+C5*12</f>
        <v>0</v>
      </c>
      <c r="E5" s="171">
        <f t="shared" ref="E5:E6" si="2">+D5/$D$8</f>
        <v>0</v>
      </c>
    </row>
    <row r="6" spans="1:5" x14ac:dyDescent="0.25">
      <c r="A6" s="26" t="s">
        <v>14</v>
      </c>
      <c r="B6" s="175">
        <v>0</v>
      </c>
      <c r="C6" s="175">
        <f t="shared" si="0"/>
        <v>0</v>
      </c>
      <c r="D6" s="175">
        <f t="shared" si="1"/>
        <v>0</v>
      </c>
      <c r="E6" s="171">
        <f t="shared" si="2"/>
        <v>0</v>
      </c>
    </row>
    <row r="7" spans="1:5" ht="22" thickBot="1" x14ac:dyDescent="0.3">
      <c r="B7" s="176"/>
      <c r="C7" s="176"/>
      <c r="D7" s="176"/>
    </row>
    <row r="8" spans="1:5" ht="22" thickTop="1" x14ac:dyDescent="0.25">
      <c r="A8" s="27" t="s">
        <v>149</v>
      </c>
      <c r="B8" s="177">
        <f>SUM(B4:B7)</f>
        <v>1000</v>
      </c>
      <c r="C8" s="177">
        <f>SUM(C4:C7)</f>
        <v>2166.6666666666665</v>
      </c>
      <c r="D8" s="177">
        <f>SUM(D4:D7)</f>
        <v>26000</v>
      </c>
    </row>
    <row r="11" spans="1:5" ht="24" x14ac:dyDescent="0.3">
      <c r="A11" s="154" t="s">
        <v>150</v>
      </c>
    </row>
    <row r="12" spans="1:5" x14ac:dyDescent="0.25">
      <c r="A12" s="153" t="s">
        <v>151</v>
      </c>
    </row>
    <row r="13" spans="1:5" x14ac:dyDescent="0.25">
      <c r="A13" s="26" t="s">
        <v>152</v>
      </c>
      <c r="B13" s="175">
        <v>1000</v>
      </c>
      <c r="C13" s="175">
        <f t="shared" ref="C13:C54" si="3">B13*26/12</f>
        <v>2166.6666666666665</v>
      </c>
      <c r="D13" s="175">
        <f t="shared" ref="D13:D54" si="4">+C13*12</f>
        <v>26000</v>
      </c>
      <c r="E13" s="171">
        <f>+D13/$D$56</f>
        <v>0.66666666666666663</v>
      </c>
    </row>
    <row r="14" spans="1:5" x14ac:dyDescent="0.25">
      <c r="A14" s="26" t="s">
        <v>153</v>
      </c>
      <c r="B14" s="175">
        <v>0</v>
      </c>
      <c r="C14" s="175">
        <f t="shared" si="3"/>
        <v>0</v>
      </c>
      <c r="D14" s="175">
        <f t="shared" si="4"/>
        <v>0</v>
      </c>
      <c r="E14" s="171">
        <f>+D14/$D$56</f>
        <v>0</v>
      </c>
    </row>
    <row r="15" spans="1:5" x14ac:dyDescent="0.25">
      <c r="A15" s="26" t="s">
        <v>154</v>
      </c>
      <c r="B15" s="175">
        <v>0</v>
      </c>
      <c r="C15" s="175">
        <f t="shared" si="3"/>
        <v>0</v>
      </c>
      <c r="D15" s="175">
        <f t="shared" si="4"/>
        <v>0</v>
      </c>
      <c r="E15" s="171">
        <f>+D15/$D$56</f>
        <v>0</v>
      </c>
    </row>
    <row r="16" spans="1:5" x14ac:dyDescent="0.25">
      <c r="A16" s="26" t="s">
        <v>155</v>
      </c>
      <c r="B16" s="175">
        <v>0</v>
      </c>
      <c r="C16" s="175">
        <f t="shared" si="3"/>
        <v>0</v>
      </c>
      <c r="D16" s="175">
        <f t="shared" si="4"/>
        <v>0</v>
      </c>
      <c r="E16" s="171">
        <f>+D16/$D$56</f>
        <v>0</v>
      </c>
    </row>
    <row r="17" spans="1:6" x14ac:dyDescent="0.25">
      <c r="A17" s="26" t="s">
        <v>156</v>
      </c>
      <c r="B17" s="175">
        <v>0</v>
      </c>
      <c r="C17" s="175">
        <f t="shared" si="3"/>
        <v>0</v>
      </c>
      <c r="D17" s="175">
        <f t="shared" si="4"/>
        <v>0</v>
      </c>
      <c r="E17" s="171">
        <f>+D17/$D$56</f>
        <v>0</v>
      </c>
    </row>
    <row r="18" spans="1:6" x14ac:dyDescent="0.25">
      <c r="A18" s="152" t="s">
        <v>157</v>
      </c>
      <c r="B18" s="175"/>
      <c r="C18" s="175"/>
      <c r="D18" s="175"/>
    </row>
    <row r="19" spans="1:6" x14ac:dyDescent="0.25">
      <c r="A19" s="26" t="s">
        <v>158</v>
      </c>
      <c r="B19" s="175">
        <v>0</v>
      </c>
      <c r="C19" s="175">
        <f t="shared" si="3"/>
        <v>0</v>
      </c>
      <c r="D19" s="175">
        <f t="shared" si="4"/>
        <v>0</v>
      </c>
      <c r="E19" s="171">
        <f>+D19/$D$56</f>
        <v>0</v>
      </c>
    </row>
    <row r="20" spans="1:6" x14ac:dyDescent="0.25">
      <c r="A20" s="26" t="s">
        <v>159</v>
      </c>
      <c r="B20" s="175">
        <v>0</v>
      </c>
      <c r="C20" s="175">
        <f t="shared" si="3"/>
        <v>0</v>
      </c>
      <c r="D20" s="175">
        <f t="shared" si="4"/>
        <v>0</v>
      </c>
      <c r="E20" s="171">
        <f>+D20/$D$56</f>
        <v>0</v>
      </c>
    </row>
    <row r="21" spans="1:6" x14ac:dyDescent="0.25">
      <c r="A21" s="26" t="s">
        <v>160</v>
      </c>
      <c r="B21" s="175">
        <v>0</v>
      </c>
      <c r="C21" s="175">
        <f t="shared" si="3"/>
        <v>0</v>
      </c>
      <c r="D21" s="175">
        <f t="shared" si="4"/>
        <v>0</v>
      </c>
      <c r="E21" s="171">
        <f>+D21/$D$56</f>
        <v>0</v>
      </c>
    </row>
    <row r="22" spans="1:6" x14ac:dyDescent="0.25">
      <c r="A22" s="152" t="s">
        <v>161</v>
      </c>
      <c r="B22" s="175"/>
      <c r="C22" s="175"/>
      <c r="D22" s="175"/>
    </row>
    <row r="23" spans="1:6" x14ac:dyDescent="0.25">
      <c r="A23" s="26" t="s">
        <v>162</v>
      </c>
      <c r="B23" s="175">
        <v>0</v>
      </c>
      <c r="C23" s="175">
        <f t="shared" si="3"/>
        <v>0</v>
      </c>
      <c r="D23" s="175">
        <f t="shared" si="4"/>
        <v>0</v>
      </c>
      <c r="E23" s="171">
        <f>+D23/$D$56</f>
        <v>0</v>
      </c>
    </row>
    <row r="24" spans="1:6" x14ac:dyDescent="0.25">
      <c r="A24" s="26" t="s">
        <v>163</v>
      </c>
      <c r="B24" s="175">
        <v>0</v>
      </c>
      <c r="C24" s="175">
        <f t="shared" si="3"/>
        <v>0</v>
      </c>
      <c r="D24" s="175">
        <f t="shared" si="4"/>
        <v>0</v>
      </c>
      <c r="E24" s="171">
        <f>+D24/$D$56</f>
        <v>0</v>
      </c>
    </row>
    <row r="25" spans="1:6" x14ac:dyDescent="0.25">
      <c r="A25" s="26" t="s">
        <v>164</v>
      </c>
      <c r="B25" s="175">
        <v>0</v>
      </c>
      <c r="C25" s="175">
        <f t="shared" si="3"/>
        <v>0</v>
      </c>
      <c r="D25" s="175">
        <f t="shared" si="4"/>
        <v>0</v>
      </c>
      <c r="E25" s="171">
        <f>+D25/$D$56</f>
        <v>0</v>
      </c>
    </row>
    <row r="26" spans="1:6" x14ac:dyDescent="0.25">
      <c r="A26" s="152" t="s">
        <v>165</v>
      </c>
      <c r="B26" s="175"/>
      <c r="C26" s="175"/>
      <c r="D26" s="175"/>
    </row>
    <row r="27" spans="1:6" x14ac:dyDescent="0.25">
      <c r="A27" s="26" t="s">
        <v>166</v>
      </c>
      <c r="B27" s="175">
        <v>0</v>
      </c>
      <c r="C27" s="175">
        <f t="shared" si="3"/>
        <v>0</v>
      </c>
      <c r="D27" s="175">
        <f t="shared" si="4"/>
        <v>0</v>
      </c>
      <c r="E27" s="171">
        <f>+D27/$D$56</f>
        <v>0</v>
      </c>
    </row>
    <row r="28" spans="1:6" x14ac:dyDescent="0.25">
      <c r="A28" s="26" t="s">
        <v>167</v>
      </c>
      <c r="B28" s="175">
        <v>0</v>
      </c>
      <c r="C28" s="175">
        <f t="shared" si="3"/>
        <v>0</v>
      </c>
      <c r="D28" s="175">
        <f t="shared" si="4"/>
        <v>0</v>
      </c>
      <c r="E28" s="171">
        <f>+D28/$D$56</f>
        <v>0</v>
      </c>
    </row>
    <row r="29" spans="1:6" ht="21" customHeight="1" x14ac:dyDescent="0.25">
      <c r="A29" s="26" t="s">
        <v>168</v>
      </c>
      <c r="B29" s="175">
        <v>0</v>
      </c>
      <c r="C29" s="175">
        <f t="shared" si="3"/>
        <v>0</v>
      </c>
      <c r="D29" s="175">
        <f t="shared" si="4"/>
        <v>0</v>
      </c>
      <c r="E29" s="171">
        <f>+D29/$D$56</f>
        <v>0</v>
      </c>
    </row>
    <row r="30" spans="1:6" x14ac:dyDescent="0.25">
      <c r="A30" s="28" t="s">
        <v>169</v>
      </c>
      <c r="B30" s="175">
        <v>0</v>
      </c>
      <c r="C30" s="175">
        <f t="shared" si="3"/>
        <v>0</v>
      </c>
      <c r="D30" s="175">
        <f t="shared" si="4"/>
        <v>0</v>
      </c>
      <c r="E30" s="171">
        <f>+D30/$D$56</f>
        <v>0</v>
      </c>
      <c r="F30" s="155"/>
    </row>
    <row r="31" spans="1:6" x14ac:dyDescent="0.25">
      <c r="A31" s="153" t="s">
        <v>170</v>
      </c>
      <c r="B31" s="175"/>
      <c r="C31" s="175"/>
      <c r="D31" s="175"/>
      <c r="F31" s="155"/>
    </row>
    <row r="32" spans="1:6" x14ac:dyDescent="0.25">
      <c r="A32" s="26" t="s">
        <v>171</v>
      </c>
      <c r="B32" s="175">
        <v>0</v>
      </c>
      <c r="C32" s="175">
        <f>B32*26/12</f>
        <v>0</v>
      </c>
      <c r="D32" s="175">
        <f>+C32*12</f>
        <v>0</v>
      </c>
      <c r="E32" s="171">
        <f t="shared" ref="E32:E37" si="5">+D32/$D$56</f>
        <v>0</v>
      </c>
      <c r="F32" s="155"/>
    </row>
    <row r="33" spans="1:8" x14ac:dyDescent="0.25">
      <c r="A33" s="26" t="s">
        <v>172</v>
      </c>
      <c r="B33" s="175">
        <v>0</v>
      </c>
      <c r="C33" s="175">
        <f t="shared" ref="C33:C37" si="6">B33*26/12</f>
        <v>0</v>
      </c>
      <c r="D33" s="175">
        <f t="shared" ref="D33:D37" si="7">+C33*12</f>
        <v>0</v>
      </c>
      <c r="E33" s="171">
        <f t="shared" si="5"/>
        <v>0</v>
      </c>
    </row>
    <row r="34" spans="1:8" x14ac:dyDescent="0.25">
      <c r="A34" s="26" t="s">
        <v>198</v>
      </c>
      <c r="B34" s="175">
        <v>500</v>
      </c>
      <c r="C34" s="175">
        <f t="shared" si="6"/>
        <v>1083.3333333333333</v>
      </c>
      <c r="D34" s="175">
        <f t="shared" si="7"/>
        <v>13000</v>
      </c>
      <c r="E34" s="171">
        <f t="shared" si="5"/>
        <v>0.33333333333333331</v>
      </c>
      <c r="F34" s="155"/>
    </row>
    <row r="35" spans="1:8" x14ac:dyDescent="0.25">
      <c r="A35" s="26" t="s">
        <v>174</v>
      </c>
      <c r="B35" s="175">
        <v>0</v>
      </c>
      <c r="C35" s="175">
        <f t="shared" si="6"/>
        <v>0</v>
      </c>
      <c r="D35" s="175">
        <f t="shared" si="7"/>
        <v>0</v>
      </c>
      <c r="E35" s="171">
        <f t="shared" si="5"/>
        <v>0</v>
      </c>
      <c r="F35" s="155"/>
    </row>
    <row r="36" spans="1:8" x14ac:dyDescent="0.25">
      <c r="A36" s="26" t="s">
        <v>175</v>
      </c>
      <c r="B36" s="175">
        <v>0</v>
      </c>
      <c r="C36" s="175">
        <f t="shared" si="6"/>
        <v>0</v>
      </c>
      <c r="D36" s="175">
        <f t="shared" si="7"/>
        <v>0</v>
      </c>
      <c r="E36" s="171">
        <f t="shared" si="5"/>
        <v>0</v>
      </c>
      <c r="F36" s="155"/>
    </row>
    <row r="37" spans="1:8" x14ac:dyDescent="0.25">
      <c r="A37" s="26" t="s">
        <v>176</v>
      </c>
      <c r="B37" s="175">
        <v>0</v>
      </c>
      <c r="C37" s="175">
        <f t="shared" si="6"/>
        <v>0</v>
      </c>
      <c r="D37" s="175">
        <f t="shared" si="7"/>
        <v>0</v>
      </c>
      <c r="E37" s="171">
        <f t="shared" si="5"/>
        <v>0</v>
      </c>
      <c r="F37" s="155"/>
    </row>
    <row r="38" spans="1:8" ht="22" thickBot="1" x14ac:dyDescent="0.3">
      <c r="A38" s="153" t="s">
        <v>177</v>
      </c>
      <c r="B38" s="175"/>
      <c r="C38" s="175"/>
      <c r="D38" s="175"/>
      <c r="F38" s="155"/>
    </row>
    <row r="39" spans="1:8" x14ac:dyDescent="0.25">
      <c r="A39" s="26" t="s">
        <v>178</v>
      </c>
      <c r="B39" s="175">
        <v>0</v>
      </c>
      <c r="C39" s="175">
        <f>B39*26/12</f>
        <v>0</v>
      </c>
      <c r="D39" s="175">
        <f>+C39*12</f>
        <v>0</v>
      </c>
      <c r="E39" s="171">
        <f>+D39/$D$56</f>
        <v>0</v>
      </c>
      <c r="G39" s="882" t="s">
        <v>245</v>
      </c>
      <c r="H39" s="883"/>
    </row>
    <row r="40" spans="1:8" x14ac:dyDescent="0.25">
      <c r="A40" s="153" t="s">
        <v>179</v>
      </c>
      <c r="B40" s="175"/>
      <c r="C40" s="175"/>
      <c r="D40" s="175"/>
      <c r="G40" s="157" t="s">
        <v>180</v>
      </c>
      <c r="H40" s="158">
        <f>+D41/(IF(Status!H19&gt;0,Status!H19,IF(Status!G19&gt;0,Status!G19,IF(Status!F19&gt;0,Status!F19,IF(Status!E19&gt;0,Status!E19,IF(Status!D19&gt;0,Status!D19,IF(Status!C19&gt;0,Status!C19,0)))))))</f>
        <v>0</v>
      </c>
    </row>
    <row r="41" spans="1:8" x14ac:dyDescent="0.25">
      <c r="A41" s="26" t="s">
        <v>181</v>
      </c>
      <c r="B41" s="175">
        <v>0</v>
      </c>
      <c r="C41" s="175">
        <f>B41*26/12</f>
        <v>0</v>
      </c>
      <c r="D41" s="175">
        <f>+C41*12</f>
        <v>0</v>
      </c>
      <c r="E41" s="171">
        <f t="shared" ref="E41:E44" si="8">+D41/$D$56</f>
        <v>0</v>
      </c>
      <c r="G41" s="884" t="s">
        <v>182</v>
      </c>
      <c r="H41" s="885"/>
    </row>
    <row r="42" spans="1:8" x14ac:dyDescent="0.25">
      <c r="A42" s="26" t="s">
        <v>183</v>
      </c>
      <c r="B42" s="175">
        <v>0</v>
      </c>
      <c r="C42" s="175">
        <f t="shared" si="3"/>
        <v>0</v>
      </c>
      <c r="D42" s="175">
        <f t="shared" si="4"/>
        <v>0</v>
      </c>
      <c r="E42" s="171">
        <f t="shared" si="8"/>
        <v>0</v>
      </c>
      <c r="G42" s="157" t="s">
        <v>183</v>
      </c>
      <c r="H42" s="158">
        <f>+D42/(IF(Status!H19&gt;0,Status!H19,IF(Status!G19&gt;0,Status!G19,IF(Status!F19&gt;0,Status!F19,IF(Status!E19&gt;0,Status!E19,IF(Status!D19&gt;0,Status!D19,IF(Status!C19&gt;0,Status!C19,0)))))))</f>
        <v>0</v>
      </c>
    </row>
    <row r="43" spans="1:8" x14ac:dyDescent="0.25">
      <c r="A43" s="26" t="s">
        <v>184</v>
      </c>
      <c r="B43" s="175">
        <v>0</v>
      </c>
      <c r="C43" s="175">
        <f t="shared" si="3"/>
        <v>0</v>
      </c>
      <c r="D43" s="175">
        <f t="shared" si="4"/>
        <v>0</v>
      </c>
      <c r="E43" s="171">
        <f t="shared" si="8"/>
        <v>0</v>
      </c>
      <c r="G43" s="157" t="s">
        <v>184</v>
      </c>
      <c r="H43" s="158">
        <f>+D43/(IF(Status!H19&gt;0,Status!H19,IF(Status!G19&gt;0,Status!G19,IF(Status!F19&gt;0,Status!F19,IF(Status!E19&gt;0,Status!E19,IF(Status!D19&gt;0,Status!D19,IF(Status!C19&gt;0,Status!C19,0)))))))</f>
        <v>0</v>
      </c>
    </row>
    <row r="44" spans="1:8" ht="22" thickBot="1" x14ac:dyDescent="0.3">
      <c r="A44" s="26" t="s">
        <v>185</v>
      </c>
      <c r="B44" s="175">
        <v>0</v>
      </c>
      <c r="C44" s="175">
        <f t="shared" si="3"/>
        <v>0</v>
      </c>
      <c r="D44" s="175">
        <f t="shared" si="4"/>
        <v>0</v>
      </c>
      <c r="E44" s="171">
        <f t="shared" si="8"/>
        <v>0</v>
      </c>
      <c r="G44" s="159" t="s">
        <v>186</v>
      </c>
      <c r="H44" s="160">
        <f>+D44/(IF(Status!H19&gt;0,Status!H19,IF(Status!G19&gt;0,Status!G19,IF(Status!F19&gt;0,Status!F19,IF(Status!E19&gt;0,Status!E19,IF(Status!D19&gt;0,Status!D19,IF(Status!C19&gt;0,Status!C19,0)))))))</f>
        <v>0</v>
      </c>
    </row>
    <row r="45" spans="1:8" x14ac:dyDescent="0.25">
      <c r="A45" s="29"/>
      <c r="B45" s="175"/>
      <c r="C45" s="175"/>
      <c r="D45" s="175"/>
    </row>
    <row r="46" spans="1:8" ht="24" x14ac:dyDescent="0.3">
      <c r="A46" s="156" t="s">
        <v>187</v>
      </c>
      <c r="B46" s="175"/>
      <c r="C46" s="175"/>
      <c r="D46" s="175"/>
    </row>
    <row r="47" spans="1:8" x14ac:dyDescent="0.25">
      <c r="A47" s="28" t="s">
        <v>188</v>
      </c>
      <c r="B47" s="175">
        <v>0</v>
      </c>
      <c r="C47" s="175">
        <f t="shared" si="3"/>
        <v>0</v>
      </c>
      <c r="D47" s="175">
        <f t="shared" si="4"/>
        <v>0</v>
      </c>
      <c r="E47" s="171">
        <f t="shared" ref="E47:E54" si="9">+D47/$D$56</f>
        <v>0</v>
      </c>
    </row>
    <row r="48" spans="1:8" ht="22" customHeight="1" x14ac:dyDescent="0.25">
      <c r="A48" s="28" t="s">
        <v>189</v>
      </c>
      <c r="B48" s="175">
        <v>0</v>
      </c>
      <c r="C48" s="175">
        <f t="shared" si="3"/>
        <v>0</v>
      </c>
      <c r="D48" s="175">
        <f t="shared" si="4"/>
        <v>0</v>
      </c>
      <c r="E48" s="171">
        <f t="shared" si="9"/>
        <v>0</v>
      </c>
    </row>
    <row r="49" spans="1:5" x14ac:dyDescent="0.25">
      <c r="A49" s="28" t="s">
        <v>190</v>
      </c>
      <c r="B49" s="175">
        <v>0</v>
      </c>
      <c r="C49" s="175">
        <f t="shared" si="3"/>
        <v>0</v>
      </c>
      <c r="D49" s="175">
        <f t="shared" si="4"/>
        <v>0</v>
      </c>
      <c r="E49" s="171">
        <f t="shared" si="9"/>
        <v>0</v>
      </c>
    </row>
    <row r="50" spans="1:5" x14ac:dyDescent="0.25">
      <c r="A50" s="28" t="s">
        <v>191</v>
      </c>
      <c r="B50" s="175">
        <v>0</v>
      </c>
      <c r="C50" s="175">
        <f t="shared" si="3"/>
        <v>0</v>
      </c>
      <c r="D50" s="175">
        <f t="shared" si="4"/>
        <v>0</v>
      </c>
      <c r="E50" s="171">
        <f t="shared" si="9"/>
        <v>0</v>
      </c>
    </row>
    <row r="51" spans="1:5" x14ac:dyDescent="0.25">
      <c r="A51" s="28" t="s">
        <v>192</v>
      </c>
      <c r="B51" s="175">
        <v>0</v>
      </c>
      <c r="C51" s="175">
        <f t="shared" si="3"/>
        <v>0</v>
      </c>
      <c r="D51" s="175">
        <f t="shared" si="4"/>
        <v>0</v>
      </c>
      <c r="E51" s="171">
        <f t="shared" si="9"/>
        <v>0</v>
      </c>
    </row>
    <row r="52" spans="1:5" x14ac:dyDescent="0.25">
      <c r="A52" s="28" t="s">
        <v>193</v>
      </c>
      <c r="B52" s="175">
        <v>0</v>
      </c>
      <c r="C52" s="175">
        <f t="shared" si="3"/>
        <v>0</v>
      </c>
      <c r="D52" s="175">
        <f t="shared" si="4"/>
        <v>0</v>
      </c>
      <c r="E52" s="171">
        <f t="shared" si="9"/>
        <v>0</v>
      </c>
    </row>
    <row r="53" spans="1:5" x14ac:dyDescent="0.25">
      <c r="A53" s="28" t="s">
        <v>199</v>
      </c>
      <c r="B53" s="175">
        <v>0</v>
      </c>
      <c r="C53" s="175">
        <f t="shared" si="3"/>
        <v>0</v>
      </c>
      <c r="D53" s="175">
        <f t="shared" si="4"/>
        <v>0</v>
      </c>
      <c r="E53" s="171">
        <f t="shared" si="9"/>
        <v>0</v>
      </c>
    </row>
    <row r="54" spans="1:5" x14ac:dyDescent="0.25">
      <c r="A54" s="28" t="s">
        <v>194</v>
      </c>
      <c r="B54" s="175">
        <v>0</v>
      </c>
      <c r="C54" s="175">
        <f t="shared" si="3"/>
        <v>0</v>
      </c>
      <c r="D54" s="175">
        <f t="shared" si="4"/>
        <v>0</v>
      </c>
      <c r="E54" s="171">
        <f t="shared" si="9"/>
        <v>0</v>
      </c>
    </row>
    <row r="55" spans="1:5" ht="22" thickBot="1" x14ac:dyDescent="0.3">
      <c r="B55" s="176"/>
      <c r="C55" s="176"/>
      <c r="D55" s="176"/>
    </row>
    <row r="56" spans="1:5" ht="22" thickTop="1" x14ac:dyDescent="0.25">
      <c r="A56" s="27" t="s">
        <v>195</v>
      </c>
      <c r="B56" s="174">
        <f>SUM(B12:B55)</f>
        <v>1500</v>
      </c>
      <c r="C56" s="174">
        <f t="shared" ref="C56:D56" si="10">SUM(C12:C55)</f>
        <v>3250</v>
      </c>
      <c r="D56" s="174">
        <f t="shared" si="10"/>
        <v>39000</v>
      </c>
    </row>
    <row r="58" spans="1:5" x14ac:dyDescent="0.25">
      <c r="A58" s="27" t="s">
        <v>196</v>
      </c>
      <c r="B58" s="174">
        <f>B8-B56</f>
        <v>-500</v>
      </c>
      <c r="C58" s="174">
        <f>C8-C56</f>
        <v>-1083.3333333333335</v>
      </c>
      <c r="D58" s="175">
        <f>+D8-D56</f>
        <v>-13000</v>
      </c>
    </row>
    <row r="59" spans="1:5" x14ac:dyDescent="0.25">
      <c r="A59" s="30"/>
    </row>
    <row r="60" spans="1:5" x14ac:dyDescent="0.25">
      <c r="A60" s="27" t="s">
        <v>197</v>
      </c>
      <c r="B60" s="177"/>
      <c r="C60" s="177"/>
      <c r="D60" s="177"/>
    </row>
    <row r="61" spans="1:5" x14ac:dyDescent="0.25">
      <c r="A61" s="30"/>
    </row>
  </sheetData>
  <sheetProtection insertColumns="0" insertRows="0" deleteColumns="0" deleteRows="0" sort="0" autoFilter="0" pivotTables="0"/>
  <mergeCells count="2">
    <mergeCell ref="G39:H39"/>
    <mergeCell ref="G41:H41"/>
  </mergeCells>
  <conditionalFormatting sqref="B58:C58">
    <cfRule type="cellIs" dxfId="3" priority="1" operator="greaterThan">
      <formula>0</formula>
    </cfRule>
    <cfRule type="cellIs" dxfId="2" priority="2" operator="lessThan">
      <formula>0</formula>
    </cfRule>
  </conditionalFormatting>
  <pageMargins left="0.7" right="0.7" top="0.75" bottom="0.75" header="0.3" footer="0.3"/>
  <pageSetup scale="4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145BA-9A9C-4DA0-8E1E-8DBDB724616A}">
  <sheetPr codeName="Feuil26"/>
  <dimension ref="A1:H61"/>
  <sheetViews>
    <sheetView zoomScaleNormal="100" workbookViewId="0">
      <pane xSplit="1" ySplit="1" topLeftCell="B2" activePane="bottomRight" state="frozen"/>
      <selection activeCell="B16" sqref="B16:F17"/>
      <selection pane="topRight" activeCell="B16" sqref="B16:F17"/>
      <selection pane="bottomLeft" activeCell="B16" sqref="B16:F17"/>
      <selection pane="bottomRight" activeCell="B16" sqref="B16:F17"/>
    </sheetView>
  </sheetViews>
  <sheetFormatPr baseColWidth="10" defaultColWidth="11.59765625" defaultRowHeight="21" x14ac:dyDescent="0.25"/>
  <cols>
    <col min="1" max="1" width="50.59765625" style="26" customWidth="1"/>
    <col min="2" max="4" width="20.59765625" style="174" customWidth="1"/>
    <col min="5" max="5" width="12" style="171" customWidth="1"/>
    <col min="6" max="6" width="17" style="26" bestFit="1" customWidth="1"/>
    <col min="7" max="7" width="32.3984375" style="26" customWidth="1"/>
    <col min="8" max="8" width="22" style="26" customWidth="1"/>
    <col min="9" max="16384" width="11.59765625" style="26"/>
  </cols>
  <sheetData>
    <row r="1" spans="1:5" s="25" customFormat="1" ht="44" x14ac:dyDescent="0.25">
      <c r="A1" s="24"/>
      <c r="B1" s="172" t="s">
        <v>143</v>
      </c>
      <c r="C1" s="173" t="s">
        <v>144</v>
      </c>
      <c r="D1" s="173" t="s">
        <v>145</v>
      </c>
      <c r="E1" s="170" t="s">
        <v>146</v>
      </c>
    </row>
    <row r="3" spans="1:5" ht="24" x14ac:dyDescent="0.3">
      <c r="A3" s="154" t="s">
        <v>147</v>
      </c>
    </row>
    <row r="4" spans="1:5" x14ac:dyDescent="0.25">
      <c r="A4" s="26" t="e">
        <f>+#REF!</f>
        <v>#REF!</v>
      </c>
      <c r="B4" s="175" t="e">
        <f>+#REF!</f>
        <v>#REF!</v>
      </c>
      <c r="C4" s="175" t="e">
        <f t="shared" ref="C4:C6" si="0">B4*26/12</f>
        <v>#REF!</v>
      </c>
      <c r="D4" s="175" t="e">
        <f>+C4*12</f>
        <v>#REF!</v>
      </c>
      <c r="E4" s="171" t="e">
        <f>+D4/$D$8</f>
        <v>#REF!</v>
      </c>
    </row>
    <row r="5" spans="1:5" x14ac:dyDescent="0.25">
      <c r="A5" s="26" t="str">
        <f>+'Budget coût de vie B'!A34</f>
        <v>Cotisation de la conjointe</v>
      </c>
      <c r="B5" s="175">
        <f>+'Budget coût de vie B'!B34</f>
        <v>500</v>
      </c>
      <c r="C5" s="175">
        <f t="shared" si="0"/>
        <v>1083.3333333333333</v>
      </c>
      <c r="D5" s="175">
        <f t="shared" ref="D5:D6" si="1">+C5*12</f>
        <v>13000</v>
      </c>
      <c r="E5" s="171" t="e">
        <f t="shared" ref="E5:E6" si="2">+D5/$D$8</f>
        <v>#REF!</v>
      </c>
    </row>
    <row r="6" spans="1:5" x14ac:dyDescent="0.25">
      <c r="A6" s="26" t="s">
        <v>14</v>
      </c>
      <c r="B6" s="175">
        <v>0</v>
      </c>
      <c r="C6" s="175">
        <f t="shared" si="0"/>
        <v>0</v>
      </c>
      <c r="D6" s="175">
        <f t="shared" si="1"/>
        <v>0</v>
      </c>
      <c r="E6" s="171" t="e">
        <f t="shared" si="2"/>
        <v>#REF!</v>
      </c>
    </row>
    <row r="7" spans="1:5" ht="22" thickBot="1" x14ac:dyDescent="0.3">
      <c r="B7" s="176"/>
      <c r="C7" s="176"/>
      <c r="D7" s="176"/>
    </row>
    <row r="8" spans="1:5" ht="22" thickTop="1" x14ac:dyDescent="0.25">
      <c r="A8" s="27" t="s">
        <v>149</v>
      </c>
      <c r="B8" s="177" t="e">
        <f>SUM(B4:B7)</f>
        <v>#REF!</v>
      </c>
      <c r="C8" s="177" t="e">
        <f>SUM(C4:C7)</f>
        <v>#REF!</v>
      </c>
      <c r="D8" s="177" t="e">
        <f>SUM(D4:D7)</f>
        <v>#REF!</v>
      </c>
    </row>
    <row r="11" spans="1:5" ht="24" x14ac:dyDescent="0.3">
      <c r="A11" s="154" t="s">
        <v>150</v>
      </c>
    </row>
    <row r="12" spans="1:5" x14ac:dyDescent="0.25">
      <c r="A12" s="153" t="s">
        <v>151</v>
      </c>
    </row>
    <row r="13" spans="1:5" x14ac:dyDescent="0.25">
      <c r="A13" s="26" t="s">
        <v>152</v>
      </c>
      <c r="B13" s="175">
        <v>1000</v>
      </c>
      <c r="C13" s="175">
        <f t="shared" ref="C13:C54" si="3">B13*26/12</f>
        <v>2166.6666666666665</v>
      </c>
      <c r="D13" s="175">
        <f t="shared" ref="D13:D54" si="4">+C13*12</f>
        <v>26000</v>
      </c>
      <c r="E13" s="171">
        <f>+D13/$D$56</f>
        <v>1</v>
      </c>
    </row>
    <row r="14" spans="1:5" x14ac:dyDescent="0.25">
      <c r="A14" s="26" t="s">
        <v>153</v>
      </c>
      <c r="B14" s="175">
        <v>0</v>
      </c>
      <c r="C14" s="175">
        <f t="shared" si="3"/>
        <v>0</v>
      </c>
      <c r="D14" s="175">
        <f t="shared" si="4"/>
        <v>0</v>
      </c>
      <c r="E14" s="171">
        <f>+D14/$D$56</f>
        <v>0</v>
      </c>
    </row>
    <row r="15" spans="1:5" x14ac:dyDescent="0.25">
      <c r="A15" s="26" t="s">
        <v>154</v>
      </c>
      <c r="B15" s="175">
        <v>0</v>
      </c>
      <c r="C15" s="175">
        <f t="shared" si="3"/>
        <v>0</v>
      </c>
      <c r="D15" s="175">
        <f t="shared" si="4"/>
        <v>0</v>
      </c>
      <c r="E15" s="171">
        <f>+D15/$D$56</f>
        <v>0</v>
      </c>
    </row>
    <row r="16" spans="1:5" x14ac:dyDescent="0.25">
      <c r="A16" s="26" t="s">
        <v>155</v>
      </c>
      <c r="B16" s="175">
        <v>0</v>
      </c>
      <c r="C16" s="175">
        <f t="shared" si="3"/>
        <v>0</v>
      </c>
      <c r="D16" s="175">
        <f t="shared" si="4"/>
        <v>0</v>
      </c>
      <c r="E16" s="171">
        <f>+D16/$D$56</f>
        <v>0</v>
      </c>
    </row>
    <row r="17" spans="1:6" x14ac:dyDescent="0.25">
      <c r="A17" s="26" t="s">
        <v>156</v>
      </c>
      <c r="B17" s="175">
        <v>0</v>
      </c>
      <c r="C17" s="175">
        <f t="shared" si="3"/>
        <v>0</v>
      </c>
      <c r="D17" s="175">
        <f t="shared" si="4"/>
        <v>0</v>
      </c>
      <c r="E17" s="171">
        <f>+D17/$D$56</f>
        <v>0</v>
      </c>
    </row>
    <row r="18" spans="1:6" x14ac:dyDescent="0.25">
      <c r="A18" s="152" t="s">
        <v>157</v>
      </c>
      <c r="B18" s="175"/>
      <c r="C18" s="175"/>
      <c r="D18" s="175"/>
    </row>
    <row r="19" spans="1:6" x14ac:dyDescent="0.25">
      <c r="A19" s="26" t="s">
        <v>158</v>
      </c>
      <c r="B19" s="175">
        <v>0</v>
      </c>
      <c r="C19" s="175">
        <f t="shared" si="3"/>
        <v>0</v>
      </c>
      <c r="D19" s="175">
        <f t="shared" si="4"/>
        <v>0</v>
      </c>
      <c r="E19" s="171">
        <f>+D19/$D$56</f>
        <v>0</v>
      </c>
    </row>
    <row r="20" spans="1:6" x14ac:dyDescent="0.25">
      <c r="A20" s="26" t="s">
        <v>159</v>
      </c>
      <c r="B20" s="175">
        <v>0</v>
      </c>
      <c r="C20" s="175">
        <f t="shared" si="3"/>
        <v>0</v>
      </c>
      <c r="D20" s="175">
        <f t="shared" si="4"/>
        <v>0</v>
      </c>
      <c r="E20" s="171">
        <f>+D20/$D$56</f>
        <v>0</v>
      </c>
    </row>
    <row r="21" spans="1:6" x14ac:dyDescent="0.25">
      <c r="A21" s="26" t="s">
        <v>160</v>
      </c>
      <c r="B21" s="175">
        <v>0</v>
      </c>
      <c r="C21" s="175">
        <f t="shared" si="3"/>
        <v>0</v>
      </c>
      <c r="D21" s="175">
        <f t="shared" si="4"/>
        <v>0</v>
      </c>
      <c r="E21" s="171">
        <f>+D21/$D$56</f>
        <v>0</v>
      </c>
    </row>
    <row r="22" spans="1:6" x14ac:dyDescent="0.25">
      <c r="A22" s="152" t="s">
        <v>161</v>
      </c>
      <c r="B22" s="175"/>
      <c r="C22" s="175"/>
      <c r="D22" s="175"/>
    </row>
    <row r="23" spans="1:6" x14ac:dyDescent="0.25">
      <c r="A23" s="26" t="s">
        <v>162</v>
      </c>
      <c r="B23" s="175">
        <v>0</v>
      </c>
      <c r="C23" s="175">
        <f t="shared" si="3"/>
        <v>0</v>
      </c>
      <c r="D23" s="175">
        <f t="shared" si="4"/>
        <v>0</v>
      </c>
      <c r="E23" s="171">
        <f>+D23/$D$56</f>
        <v>0</v>
      </c>
    </row>
    <row r="24" spans="1:6" x14ac:dyDescent="0.25">
      <c r="A24" s="26" t="s">
        <v>163</v>
      </c>
      <c r="B24" s="175">
        <v>0</v>
      </c>
      <c r="C24" s="175">
        <f t="shared" si="3"/>
        <v>0</v>
      </c>
      <c r="D24" s="175">
        <f t="shared" si="4"/>
        <v>0</v>
      </c>
      <c r="E24" s="171">
        <f>+D24/$D$56</f>
        <v>0</v>
      </c>
    </row>
    <row r="25" spans="1:6" x14ac:dyDescent="0.25">
      <c r="A25" s="26" t="s">
        <v>164</v>
      </c>
      <c r="B25" s="175">
        <v>0</v>
      </c>
      <c r="C25" s="175">
        <f t="shared" si="3"/>
        <v>0</v>
      </c>
      <c r="D25" s="175">
        <f t="shared" si="4"/>
        <v>0</v>
      </c>
      <c r="E25" s="171">
        <f>+D25/$D$56</f>
        <v>0</v>
      </c>
    </row>
    <row r="26" spans="1:6" x14ac:dyDescent="0.25">
      <c r="A26" s="152" t="s">
        <v>165</v>
      </c>
      <c r="B26" s="175"/>
      <c r="C26" s="175"/>
      <c r="D26" s="175"/>
    </row>
    <row r="27" spans="1:6" x14ac:dyDescent="0.25">
      <c r="A27" s="26" t="s">
        <v>166</v>
      </c>
      <c r="B27" s="175">
        <v>0</v>
      </c>
      <c r="C27" s="175">
        <f t="shared" si="3"/>
        <v>0</v>
      </c>
      <c r="D27" s="175">
        <f t="shared" si="4"/>
        <v>0</v>
      </c>
      <c r="E27" s="171">
        <f>+D27/$D$56</f>
        <v>0</v>
      </c>
    </row>
    <row r="28" spans="1:6" x14ac:dyDescent="0.25">
      <c r="A28" s="26" t="s">
        <v>167</v>
      </c>
      <c r="B28" s="175">
        <v>0</v>
      </c>
      <c r="C28" s="175">
        <f t="shared" si="3"/>
        <v>0</v>
      </c>
      <c r="D28" s="175">
        <f t="shared" si="4"/>
        <v>0</v>
      </c>
      <c r="E28" s="171">
        <f>+D28/$D$56</f>
        <v>0</v>
      </c>
    </row>
    <row r="29" spans="1:6" ht="21" customHeight="1" x14ac:dyDescent="0.25">
      <c r="A29" s="26" t="s">
        <v>168</v>
      </c>
      <c r="B29" s="175">
        <v>0</v>
      </c>
      <c r="C29" s="175">
        <f t="shared" si="3"/>
        <v>0</v>
      </c>
      <c r="D29" s="175">
        <f t="shared" si="4"/>
        <v>0</v>
      </c>
      <c r="E29" s="171">
        <f>+D29/$D$56</f>
        <v>0</v>
      </c>
    </row>
    <row r="30" spans="1:6" x14ac:dyDescent="0.25">
      <c r="A30" s="28" t="s">
        <v>169</v>
      </c>
      <c r="B30" s="175">
        <v>0</v>
      </c>
      <c r="C30" s="175">
        <f t="shared" si="3"/>
        <v>0</v>
      </c>
      <c r="D30" s="175">
        <f t="shared" si="4"/>
        <v>0</v>
      </c>
      <c r="E30" s="171">
        <f>+D30/$D$56</f>
        <v>0</v>
      </c>
      <c r="F30" s="155"/>
    </row>
    <row r="31" spans="1:6" x14ac:dyDescent="0.25">
      <c r="A31" s="153" t="s">
        <v>170</v>
      </c>
      <c r="B31" s="175"/>
      <c r="C31" s="175"/>
      <c r="D31" s="175"/>
      <c r="F31" s="155"/>
    </row>
    <row r="32" spans="1:6" x14ac:dyDescent="0.25">
      <c r="A32" s="26" t="s">
        <v>171</v>
      </c>
      <c r="B32" s="175">
        <v>0</v>
      </c>
      <c r="C32" s="175">
        <f>B32*26/12</f>
        <v>0</v>
      </c>
      <c r="D32" s="175">
        <f>+C32*12</f>
        <v>0</v>
      </c>
      <c r="E32" s="171">
        <f t="shared" ref="E32:E37" si="5">+D32/$D$56</f>
        <v>0</v>
      </c>
      <c r="F32" s="155"/>
    </row>
    <row r="33" spans="1:8" x14ac:dyDescent="0.25">
      <c r="A33" s="26" t="s">
        <v>172</v>
      </c>
      <c r="B33" s="175">
        <v>0</v>
      </c>
      <c r="C33" s="175">
        <f t="shared" ref="C33:C36" si="6">B33*26/12</f>
        <v>0</v>
      </c>
      <c r="D33" s="175">
        <f t="shared" ref="D33:D36" si="7">+C33*12</f>
        <v>0</v>
      </c>
      <c r="E33" s="171">
        <f t="shared" si="5"/>
        <v>0</v>
      </c>
    </row>
    <row r="34" spans="1:8" x14ac:dyDescent="0.25">
      <c r="A34" s="26" t="s">
        <v>173</v>
      </c>
      <c r="B34" s="175">
        <v>0</v>
      </c>
      <c r="C34" s="175">
        <f t="shared" si="6"/>
        <v>0</v>
      </c>
      <c r="D34" s="175">
        <f t="shared" si="7"/>
        <v>0</v>
      </c>
      <c r="E34" s="171">
        <f t="shared" si="5"/>
        <v>0</v>
      </c>
      <c r="F34" s="155"/>
    </row>
    <row r="35" spans="1:8" x14ac:dyDescent="0.25">
      <c r="A35" s="26" t="s">
        <v>174</v>
      </c>
      <c r="B35" s="175">
        <v>0</v>
      </c>
      <c r="C35" s="175">
        <f t="shared" si="6"/>
        <v>0</v>
      </c>
      <c r="D35" s="175">
        <f t="shared" si="7"/>
        <v>0</v>
      </c>
      <c r="E35" s="171">
        <f t="shared" si="5"/>
        <v>0</v>
      </c>
      <c r="F35" s="155"/>
    </row>
    <row r="36" spans="1:8" x14ac:dyDescent="0.25">
      <c r="A36" s="26" t="s">
        <v>175</v>
      </c>
      <c r="B36" s="175">
        <v>0</v>
      </c>
      <c r="C36" s="175">
        <f t="shared" si="6"/>
        <v>0</v>
      </c>
      <c r="D36" s="175">
        <f t="shared" si="7"/>
        <v>0</v>
      </c>
      <c r="E36" s="171">
        <f t="shared" si="5"/>
        <v>0</v>
      </c>
      <c r="F36" s="155"/>
    </row>
    <row r="37" spans="1:8" x14ac:dyDescent="0.25">
      <c r="A37" s="26" t="s">
        <v>176</v>
      </c>
      <c r="B37" s="175">
        <v>0</v>
      </c>
      <c r="C37" s="175">
        <f t="shared" ref="C37" si="8">B37*26/12</f>
        <v>0</v>
      </c>
      <c r="D37" s="175">
        <f t="shared" ref="D37" si="9">+C37*12</f>
        <v>0</v>
      </c>
      <c r="E37" s="171">
        <f t="shared" si="5"/>
        <v>0</v>
      </c>
      <c r="F37" s="155"/>
    </row>
    <row r="38" spans="1:8" ht="22" thickBot="1" x14ac:dyDescent="0.3">
      <c r="A38" s="153" t="s">
        <v>177</v>
      </c>
      <c r="B38" s="175"/>
      <c r="C38" s="175"/>
      <c r="D38" s="175"/>
      <c r="F38" s="155"/>
    </row>
    <row r="39" spans="1:8" x14ac:dyDescent="0.25">
      <c r="A39" s="26" t="s">
        <v>178</v>
      </c>
      <c r="B39" s="175">
        <v>0</v>
      </c>
      <c r="C39" s="175">
        <f>B39*26/12</f>
        <v>0</v>
      </c>
      <c r="D39" s="175">
        <f>+C39*12</f>
        <v>0</v>
      </c>
      <c r="E39" s="171">
        <f>+D39/$D$56</f>
        <v>0</v>
      </c>
      <c r="G39" s="882" t="s">
        <v>245</v>
      </c>
      <c r="H39" s="883"/>
    </row>
    <row r="40" spans="1:8" x14ac:dyDescent="0.25">
      <c r="A40" s="153" t="s">
        <v>179</v>
      </c>
      <c r="B40" s="175"/>
      <c r="C40" s="175"/>
      <c r="D40" s="175"/>
      <c r="G40" s="157" t="s">
        <v>180</v>
      </c>
      <c r="H40" s="158">
        <f>+D41/((IF(Status!H8&gt;0,Status!H8,IF(Status!G8&gt;0,Status!G8,IF(Status!F8&gt;0,Status!F8,IF(Status!E8&gt;0,Status!E8,IF(Status!D8&gt;0,Status!D8,IF(Status!C8&gt;0,Status!C8,0)))))))+(IF(Status!H19&gt;0,Status!H19,IF(Status!G19&gt;0,Status!G19,IF(Status!F19&gt;0,Status!F19,IF(Status!E19&gt;0,Status!E19,IF(Status!D19&gt;0,Status!D19,IF(Status!C19&gt;0,Status!C19,0))))))))</f>
        <v>0</v>
      </c>
    </row>
    <row r="41" spans="1:8" x14ac:dyDescent="0.25">
      <c r="A41" s="26" t="s">
        <v>181</v>
      </c>
      <c r="B41" s="175">
        <v>0</v>
      </c>
      <c r="C41" s="175">
        <f>B41*26/12</f>
        <v>0</v>
      </c>
      <c r="D41" s="175">
        <f>+C41*12</f>
        <v>0</v>
      </c>
      <c r="E41" s="171">
        <f t="shared" ref="E41:E44" si="10">+D41/$D$56</f>
        <v>0</v>
      </c>
      <c r="G41" s="884" t="s">
        <v>182</v>
      </c>
      <c r="H41" s="885"/>
    </row>
    <row r="42" spans="1:8" x14ac:dyDescent="0.25">
      <c r="A42" s="26" t="s">
        <v>183</v>
      </c>
      <c r="B42" s="175">
        <v>0</v>
      </c>
      <c r="C42" s="175">
        <f t="shared" si="3"/>
        <v>0</v>
      </c>
      <c r="D42" s="175">
        <f t="shared" si="4"/>
        <v>0</v>
      </c>
      <c r="E42" s="171">
        <f t="shared" si="10"/>
        <v>0</v>
      </c>
      <c r="G42" s="157" t="s">
        <v>183</v>
      </c>
      <c r="H42" s="158">
        <f>+D42/((IF(Status!H8&gt;0,Status!H8,IF(Status!G8&gt;0,Status!G8,IF(Status!F8&gt;0,Status!F8,IF(Status!E8&gt;0,Status!E8,IF(Status!D8&gt;0,Status!D8,IF(Status!C8&gt;0,Status!C8,0)))))))+(IF(Status!H19&gt;0,Status!H19,IF(Status!G19&gt;0,Status!G19,IF(Status!F19&gt;0,Status!F19,IF(Status!E19&gt;0,Status!E19,IF(Status!D19&gt;0,Status!D19,IF(Status!C19&gt;0,Status!C19,0))))))))</f>
        <v>0</v>
      </c>
    </row>
    <row r="43" spans="1:8" x14ac:dyDescent="0.25">
      <c r="A43" s="26" t="s">
        <v>184</v>
      </c>
      <c r="B43" s="175">
        <v>0</v>
      </c>
      <c r="C43" s="175">
        <f t="shared" si="3"/>
        <v>0</v>
      </c>
      <c r="D43" s="175">
        <f t="shared" si="4"/>
        <v>0</v>
      </c>
      <c r="E43" s="171">
        <f t="shared" si="10"/>
        <v>0</v>
      </c>
      <c r="G43" s="157" t="s">
        <v>184</v>
      </c>
      <c r="H43" s="158">
        <f>+D43/((IF(Status!H8&gt;0,Status!H8,IF(Status!G8&gt;0,Status!G8,IF(Status!F8&gt;0,Status!F8,IF(Status!E8&gt;0,Status!E8,IF(Status!D8&gt;0,Status!D8,IF(Status!C8&gt;0,Status!C8,0)))))))+(IF(Status!H19&gt;0,Status!H19,IF(Status!G19&gt;0,Status!G19,IF(Status!F19&gt;0,Status!F19,IF(Status!E19&gt;0,Status!E19,IF(Status!D19&gt;0,Status!D19,IF(Status!C19&gt;0,Status!C19,0))))))))</f>
        <v>0</v>
      </c>
    </row>
    <row r="44" spans="1:8" ht="22" thickBot="1" x14ac:dyDescent="0.3">
      <c r="A44" s="26" t="s">
        <v>185</v>
      </c>
      <c r="B44" s="175">
        <v>0</v>
      </c>
      <c r="C44" s="175">
        <f t="shared" si="3"/>
        <v>0</v>
      </c>
      <c r="D44" s="175">
        <f t="shared" si="4"/>
        <v>0</v>
      </c>
      <c r="E44" s="171">
        <f t="shared" si="10"/>
        <v>0</v>
      </c>
      <c r="G44" s="159" t="s">
        <v>186</v>
      </c>
      <c r="H44" s="160">
        <f>+D44/((IF(Status!H8&gt;0,Status!H8,IF(Status!G8&gt;0,Status!G8,IF(Status!F8&gt;0,Status!F8,IF(Status!E8&gt;0,Status!E8,IF(Status!D8&gt;0,Status!D8,IF(Status!C8&gt;0,Status!C8,0)))))))+(IF(Status!H19&gt;0,Status!H19,IF(Status!G19&gt;0,Status!G19,IF(Status!F19&gt;0,Status!F19,IF(Status!E19&gt;0,Status!E19,IF(Status!D19&gt;0,Status!D19,IF(Status!C19&gt;0,Status!C19,0))))))))</f>
        <v>0</v>
      </c>
    </row>
    <row r="45" spans="1:8" x14ac:dyDescent="0.25">
      <c r="A45" s="29"/>
      <c r="B45" s="175"/>
      <c r="C45" s="175"/>
      <c r="D45" s="175"/>
    </row>
    <row r="46" spans="1:8" ht="24" x14ac:dyDescent="0.3">
      <c r="A46" s="156" t="s">
        <v>187</v>
      </c>
      <c r="B46" s="175"/>
      <c r="C46" s="175"/>
      <c r="D46" s="175"/>
    </row>
    <row r="47" spans="1:8" x14ac:dyDescent="0.25">
      <c r="A47" s="28" t="s">
        <v>188</v>
      </c>
      <c r="B47" s="175">
        <v>0</v>
      </c>
      <c r="C47" s="175">
        <f t="shared" si="3"/>
        <v>0</v>
      </c>
      <c r="D47" s="175">
        <f t="shared" si="4"/>
        <v>0</v>
      </c>
      <c r="E47" s="171">
        <f t="shared" ref="E47:E54" si="11">+D47/$D$56</f>
        <v>0</v>
      </c>
    </row>
    <row r="48" spans="1:8" ht="22" customHeight="1" x14ac:dyDescent="0.25">
      <c r="A48" s="28" t="s">
        <v>189</v>
      </c>
      <c r="B48" s="175">
        <v>0</v>
      </c>
      <c r="C48" s="175">
        <f t="shared" si="3"/>
        <v>0</v>
      </c>
      <c r="D48" s="175">
        <f t="shared" si="4"/>
        <v>0</v>
      </c>
      <c r="E48" s="171">
        <f t="shared" si="11"/>
        <v>0</v>
      </c>
    </row>
    <row r="49" spans="1:5" x14ac:dyDescent="0.25">
      <c r="A49" s="28" t="s">
        <v>190</v>
      </c>
      <c r="B49" s="175">
        <v>0</v>
      </c>
      <c r="C49" s="175">
        <f t="shared" si="3"/>
        <v>0</v>
      </c>
      <c r="D49" s="175">
        <f t="shared" si="4"/>
        <v>0</v>
      </c>
      <c r="E49" s="171">
        <f t="shared" si="11"/>
        <v>0</v>
      </c>
    </row>
    <row r="50" spans="1:5" x14ac:dyDescent="0.25">
      <c r="A50" s="28" t="s">
        <v>191</v>
      </c>
      <c r="B50" s="175">
        <v>0</v>
      </c>
      <c r="C50" s="175">
        <f t="shared" si="3"/>
        <v>0</v>
      </c>
      <c r="D50" s="175">
        <f t="shared" si="4"/>
        <v>0</v>
      </c>
      <c r="E50" s="171">
        <f t="shared" si="11"/>
        <v>0</v>
      </c>
    </row>
    <row r="51" spans="1:5" x14ac:dyDescent="0.25">
      <c r="A51" s="28" t="s">
        <v>192</v>
      </c>
      <c r="B51" s="175">
        <v>0</v>
      </c>
      <c r="C51" s="175">
        <f t="shared" si="3"/>
        <v>0</v>
      </c>
      <c r="D51" s="175">
        <f t="shared" si="4"/>
        <v>0</v>
      </c>
      <c r="E51" s="171">
        <f t="shared" si="11"/>
        <v>0</v>
      </c>
    </row>
    <row r="52" spans="1:5" x14ac:dyDescent="0.25">
      <c r="A52" s="28" t="s">
        <v>193</v>
      </c>
      <c r="B52" s="175">
        <v>0</v>
      </c>
      <c r="C52" s="175">
        <f t="shared" si="3"/>
        <v>0</v>
      </c>
      <c r="D52" s="175">
        <f t="shared" si="4"/>
        <v>0</v>
      </c>
      <c r="E52" s="171">
        <f t="shared" si="11"/>
        <v>0</v>
      </c>
    </row>
    <row r="53" spans="1:5" x14ac:dyDescent="0.25">
      <c r="A53" s="28" t="s">
        <v>199</v>
      </c>
      <c r="B53" s="175">
        <v>0</v>
      </c>
      <c r="C53" s="175">
        <f t="shared" si="3"/>
        <v>0</v>
      </c>
      <c r="D53" s="175">
        <f t="shared" si="4"/>
        <v>0</v>
      </c>
      <c r="E53" s="171">
        <f t="shared" si="11"/>
        <v>0</v>
      </c>
    </row>
    <row r="54" spans="1:5" x14ac:dyDescent="0.25">
      <c r="A54" s="28" t="s">
        <v>194</v>
      </c>
      <c r="B54" s="175">
        <v>0</v>
      </c>
      <c r="C54" s="175">
        <f t="shared" si="3"/>
        <v>0</v>
      </c>
      <c r="D54" s="175">
        <f t="shared" si="4"/>
        <v>0</v>
      </c>
      <c r="E54" s="171">
        <f t="shared" si="11"/>
        <v>0</v>
      </c>
    </row>
    <row r="55" spans="1:5" ht="22" thickBot="1" x14ac:dyDescent="0.3">
      <c r="B55" s="176"/>
      <c r="C55" s="176"/>
      <c r="D55" s="176"/>
    </row>
    <row r="56" spans="1:5" ht="22" thickTop="1" x14ac:dyDescent="0.25">
      <c r="A56" s="27" t="s">
        <v>195</v>
      </c>
      <c r="B56" s="174">
        <f>SUM(B12:B55)</f>
        <v>1000</v>
      </c>
      <c r="C56" s="174">
        <f t="shared" ref="C56:D56" si="12">SUM(C12:C55)</f>
        <v>2166.6666666666665</v>
      </c>
      <c r="D56" s="174">
        <f t="shared" si="12"/>
        <v>26000</v>
      </c>
    </row>
    <row r="58" spans="1:5" x14ac:dyDescent="0.25">
      <c r="A58" s="27" t="s">
        <v>196</v>
      </c>
      <c r="B58" s="174" t="e">
        <f>B8-B56</f>
        <v>#REF!</v>
      </c>
      <c r="C58" s="174" t="e">
        <f>C8-C56</f>
        <v>#REF!</v>
      </c>
      <c r="D58" s="175" t="e">
        <f>+D8-D56</f>
        <v>#REF!</v>
      </c>
    </row>
    <row r="59" spans="1:5" x14ac:dyDescent="0.25">
      <c r="A59" s="30"/>
    </row>
    <row r="60" spans="1:5" x14ac:dyDescent="0.25">
      <c r="A60" s="27" t="s">
        <v>197</v>
      </c>
      <c r="B60" s="177"/>
      <c r="C60" s="177"/>
      <c r="D60" s="177"/>
    </row>
    <row r="61" spans="1:5" x14ac:dyDescent="0.25">
      <c r="A61" s="30"/>
    </row>
  </sheetData>
  <sheetProtection insertColumns="0" insertRows="0" deleteColumns="0" deleteRows="0" sort="0" autoFilter="0" pivotTables="0"/>
  <mergeCells count="2">
    <mergeCell ref="G39:H39"/>
    <mergeCell ref="G41:H41"/>
  </mergeCells>
  <conditionalFormatting sqref="B58:C5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scale="4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C046-4DDE-4F0B-88E5-FEB6E13E163E}">
  <sheetPr codeName="Feuil27">
    <tabColor theme="3" tint="0.79998168889431442"/>
  </sheetPr>
  <dimension ref="A1:F32"/>
  <sheetViews>
    <sheetView zoomScale="145" zoomScaleNormal="145" zoomScaleSheetLayoutView="115" workbookViewId="0">
      <selection activeCell="C20" sqref="C20"/>
    </sheetView>
  </sheetViews>
  <sheetFormatPr baseColWidth="10" defaultColWidth="11.3984375" defaultRowHeight="15" x14ac:dyDescent="0.2"/>
  <cols>
    <col min="1" max="1" width="32.3984375" style="294" customWidth="1"/>
    <col min="2" max="4" width="24.59765625" style="294" customWidth="1"/>
    <col min="5" max="5" width="13" style="294" customWidth="1"/>
    <col min="6" max="16384" width="11.3984375" style="294"/>
  </cols>
  <sheetData>
    <row r="1" spans="1:5" x14ac:dyDescent="0.2">
      <c r="B1" s="295" t="s">
        <v>247</v>
      </c>
      <c r="C1" s="295" t="s">
        <v>248</v>
      </c>
      <c r="D1" s="295" t="s">
        <v>249</v>
      </c>
    </row>
    <row r="2" spans="1:5" x14ac:dyDescent="0.2">
      <c r="B2" s="295" t="s">
        <v>250</v>
      </c>
      <c r="C2" s="295" t="s">
        <v>251</v>
      </c>
      <c r="D2" s="295" t="s">
        <v>252</v>
      </c>
    </row>
    <row r="3" spans="1:5" x14ac:dyDescent="0.2">
      <c r="A3" s="886" t="s">
        <v>253</v>
      </c>
      <c r="B3" s="886"/>
      <c r="C3" s="886"/>
      <c r="D3" s="886"/>
    </row>
    <row r="4" spans="1:5" x14ac:dyDescent="0.2">
      <c r="A4" s="294" t="s">
        <v>254</v>
      </c>
      <c r="B4" s="296">
        <f>+'RIPS - Analyse'!H33</f>
        <v>9198.36</v>
      </c>
      <c r="C4" s="297">
        <v>0</v>
      </c>
      <c r="D4" s="297"/>
    </row>
    <row r="5" spans="1:5" x14ac:dyDescent="0.2">
      <c r="A5" s="294" t="s">
        <v>255</v>
      </c>
      <c r="B5" s="297"/>
      <c r="C5" s="297">
        <v>0</v>
      </c>
      <c r="D5" s="297"/>
    </row>
    <row r="6" spans="1:5" x14ac:dyDescent="0.2">
      <c r="A6" s="294" t="s">
        <v>256</v>
      </c>
      <c r="B6" s="297">
        <f>+B10*$B$22</f>
        <v>7525.9309090909092</v>
      </c>
      <c r="C6" s="297">
        <f>+C11*$B$22</f>
        <v>4139.2620000000006</v>
      </c>
      <c r="D6" s="297"/>
    </row>
    <row r="7" spans="1:5" x14ac:dyDescent="0.2">
      <c r="A7" s="298" t="s">
        <v>257</v>
      </c>
      <c r="B7" s="297">
        <v>0</v>
      </c>
      <c r="C7" s="297">
        <f>+C6</f>
        <v>4139.2620000000006</v>
      </c>
      <c r="D7" s="297">
        <f t="shared" ref="D7" si="0">SUM(D4:D6)</f>
        <v>0</v>
      </c>
    </row>
    <row r="8" spans="1:5" x14ac:dyDescent="0.2">
      <c r="B8" s="299"/>
    </row>
    <row r="9" spans="1:5" x14ac:dyDescent="0.2">
      <c r="A9" s="886" t="s">
        <v>258</v>
      </c>
      <c r="B9" s="886"/>
      <c r="C9" s="886"/>
      <c r="D9" s="886"/>
    </row>
    <row r="10" spans="1:5" x14ac:dyDescent="0.2">
      <c r="A10" s="294" t="s">
        <v>259</v>
      </c>
      <c r="B10" s="297">
        <f>+B4/(1-$B$22)</f>
        <v>16724.290909090909</v>
      </c>
      <c r="C10" s="297"/>
      <c r="D10" s="297">
        <v>0</v>
      </c>
    </row>
    <row r="11" spans="1:5" x14ac:dyDescent="0.2">
      <c r="A11" s="294" t="s">
        <v>260</v>
      </c>
      <c r="B11" s="297"/>
      <c r="C11" s="297">
        <f>+B4</f>
        <v>9198.36</v>
      </c>
      <c r="D11" s="297">
        <v>0</v>
      </c>
    </row>
    <row r="12" spans="1:5" x14ac:dyDescent="0.2">
      <c r="A12" s="294" t="s">
        <v>261</v>
      </c>
      <c r="B12" s="297"/>
      <c r="C12" s="297"/>
      <c r="D12" s="296">
        <f>+'RIPS - Analyse'!H16</f>
        <v>11721.72</v>
      </c>
    </row>
    <row r="13" spans="1:5" x14ac:dyDescent="0.2">
      <c r="A13" s="294" t="s">
        <v>262</v>
      </c>
      <c r="B13" s="297">
        <f>-B10*$B$23</f>
        <v>-3512.1010909090905</v>
      </c>
      <c r="C13" s="297">
        <f>-C11*$B$23</f>
        <v>-1931.6556</v>
      </c>
      <c r="D13" s="297">
        <f>-D12*$B$23</f>
        <v>-2461.5611999999996</v>
      </c>
    </row>
    <row r="14" spans="1:5" x14ac:dyDescent="0.2">
      <c r="A14" s="298" t="s">
        <v>263</v>
      </c>
      <c r="B14" s="297">
        <f>SUM(B10:B13)</f>
        <v>13212.189818181818</v>
      </c>
      <c r="C14" s="297">
        <f t="shared" ref="C14" si="1">SUM(C10:C13)</f>
        <v>7266.7044000000005</v>
      </c>
      <c r="D14" s="297">
        <f>SUM(D10:D13)</f>
        <v>9260.1587999999992</v>
      </c>
    </row>
    <row r="16" spans="1:5" x14ac:dyDescent="0.2">
      <c r="A16" s="886" t="s">
        <v>44</v>
      </c>
      <c r="B16" s="886"/>
      <c r="C16" s="886"/>
      <c r="D16" s="886"/>
      <c r="E16" s="887" t="s">
        <v>264</v>
      </c>
    </row>
    <row r="17" spans="1:6" x14ac:dyDescent="0.2">
      <c r="A17" s="298" t="s">
        <v>265</v>
      </c>
      <c r="B17" s="296">
        <f>+'RIPS - Analyse'!F33</f>
        <v>25425</v>
      </c>
      <c r="C17" s="297">
        <f>+B17</f>
        <v>25425</v>
      </c>
      <c r="D17" s="296">
        <f>+'RIPS - Analyse'!F16</f>
        <v>33050</v>
      </c>
      <c r="E17" s="887"/>
    </row>
    <row r="18" spans="1:6" x14ac:dyDescent="0.2">
      <c r="A18" s="298" t="s">
        <v>266</v>
      </c>
      <c r="B18" s="300">
        <f>+B14+B7</f>
        <v>13212.189818181818</v>
      </c>
      <c r="C18" s="299">
        <f>+C7+C14</f>
        <v>11405.966400000001</v>
      </c>
      <c r="D18" s="300">
        <f>+D14</f>
        <v>9260.1587999999992</v>
      </c>
      <c r="E18" s="299">
        <f>+D18/12</f>
        <v>771.67989999999998</v>
      </c>
      <c r="F18" s="301"/>
    </row>
    <row r="19" spans="1:6" x14ac:dyDescent="0.2">
      <c r="A19" s="302" t="s">
        <v>267</v>
      </c>
      <c r="C19" s="303">
        <f>+C18/B18-1</f>
        <v>-0.13670886075949351</v>
      </c>
      <c r="D19" s="303">
        <f>+D18/B18-1</f>
        <v>-0.29912006053252971</v>
      </c>
    </row>
    <row r="20" spans="1:6" x14ac:dyDescent="0.2">
      <c r="A20" s="302"/>
      <c r="C20" s="303"/>
      <c r="D20" s="303"/>
    </row>
    <row r="21" spans="1:6" x14ac:dyDescent="0.2">
      <c r="A21" s="302" t="s">
        <v>112</v>
      </c>
      <c r="C21" s="304"/>
      <c r="D21" s="304"/>
    </row>
    <row r="22" spans="1:6" x14ac:dyDescent="0.2">
      <c r="A22" s="305" t="s">
        <v>268</v>
      </c>
      <c r="B22" s="306">
        <v>0.45</v>
      </c>
      <c r="C22" s="304"/>
      <c r="D22" s="304"/>
    </row>
    <row r="23" spans="1:6" x14ac:dyDescent="0.2">
      <c r="A23" s="305" t="s">
        <v>269</v>
      </c>
      <c r="B23" s="306">
        <v>0.21</v>
      </c>
      <c r="C23" s="304"/>
      <c r="D23" s="304"/>
    </row>
    <row r="24" spans="1:6" x14ac:dyDescent="0.2">
      <c r="A24" s="302" t="s">
        <v>128</v>
      </c>
      <c r="D24" s="304"/>
    </row>
    <row r="25" spans="1:6" ht="15" customHeight="1" x14ac:dyDescent="0.2">
      <c r="A25" s="888" t="s">
        <v>270</v>
      </c>
      <c r="B25" s="888"/>
      <c r="C25" s="888"/>
      <c r="D25" s="888"/>
    </row>
    <row r="26" spans="1:6" x14ac:dyDescent="0.2">
      <c r="A26" s="888"/>
      <c r="B26" s="888"/>
      <c r="C26" s="888"/>
      <c r="D26" s="888"/>
    </row>
    <row r="27" spans="1:6" x14ac:dyDescent="0.2">
      <c r="A27" s="888"/>
      <c r="B27" s="888"/>
      <c r="C27" s="888"/>
      <c r="D27" s="888"/>
    </row>
    <row r="28" spans="1:6" x14ac:dyDescent="0.2">
      <c r="A28" s="888"/>
      <c r="B28" s="888"/>
      <c r="C28" s="888"/>
      <c r="D28" s="888"/>
    </row>
    <row r="29" spans="1:6" x14ac:dyDescent="0.2">
      <c r="A29" s="888"/>
      <c r="B29" s="888"/>
      <c r="C29" s="888"/>
      <c r="D29" s="888"/>
    </row>
    <row r="30" spans="1:6" x14ac:dyDescent="0.2">
      <c r="A30" s="888"/>
      <c r="B30" s="888"/>
      <c r="C30" s="888"/>
      <c r="D30" s="888"/>
    </row>
    <row r="31" spans="1:6" x14ac:dyDescent="0.2">
      <c r="A31" s="888"/>
      <c r="B31" s="888"/>
      <c r="C31" s="888"/>
      <c r="D31" s="888"/>
    </row>
    <row r="32" spans="1:6" x14ac:dyDescent="0.2">
      <c r="A32" s="888"/>
      <c r="B32" s="888"/>
      <c r="C32" s="888"/>
      <c r="D32" s="888"/>
    </row>
  </sheetData>
  <mergeCells count="5">
    <mergeCell ref="A3:D3"/>
    <mergeCell ref="A9:D9"/>
    <mergeCell ref="A16:D16"/>
    <mergeCell ref="E16:E17"/>
    <mergeCell ref="A25:D32"/>
  </mergeCells>
  <pageMargins left="0.7" right="0.7" top="0.75" bottom="0.75" header="0.3" footer="0.3"/>
  <pageSetup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B35A-8AA2-4BE7-A3AC-09BD3F9F63B0}">
  <sheetPr codeName="Feuil28">
    <tabColor theme="3" tint="0.79998168889431442"/>
    <pageSetUpPr fitToPage="1"/>
  </sheetPr>
  <dimension ref="A1:K39"/>
  <sheetViews>
    <sheetView zoomScale="115" zoomScaleNormal="115" zoomScaleSheetLayoutView="100" workbookViewId="0">
      <selection activeCell="C20" sqref="C20"/>
    </sheetView>
  </sheetViews>
  <sheetFormatPr baseColWidth="10" defaultColWidth="11.3984375" defaultRowHeight="15" x14ac:dyDescent="0.2"/>
  <cols>
    <col min="1" max="1" width="23.796875" style="294" customWidth="1"/>
    <col min="2" max="2" width="10.796875" style="294" customWidth="1"/>
    <col min="3" max="3" width="11.3984375" style="294"/>
    <col min="4" max="4" width="55.59765625" style="294" bestFit="1" customWidth="1"/>
    <col min="5" max="8" width="9.59765625" style="346" customWidth="1"/>
    <col min="9" max="9" width="12.59765625" style="346" customWidth="1"/>
    <col min="10" max="16384" width="11.3984375" style="294"/>
  </cols>
  <sheetData>
    <row r="1" spans="1:9" ht="16" thickBot="1" x14ac:dyDescent="0.25">
      <c r="A1" s="889" t="s">
        <v>271</v>
      </c>
      <c r="B1" s="890"/>
      <c r="C1" s="890"/>
      <c r="D1" s="890"/>
      <c r="E1" s="890"/>
      <c r="F1" s="890"/>
      <c r="G1" s="890"/>
      <c r="H1" s="890"/>
      <c r="I1" s="891"/>
    </row>
    <row r="2" spans="1:9" ht="49" thickBot="1" x14ac:dyDescent="0.25">
      <c r="A2" s="307" t="s">
        <v>116</v>
      </c>
      <c r="B2" s="308" t="s">
        <v>12</v>
      </c>
      <c r="C2" s="308" t="s">
        <v>272</v>
      </c>
      <c r="D2" s="308" t="s">
        <v>273</v>
      </c>
      <c r="E2" s="309" t="s">
        <v>274</v>
      </c>
      <c r="F2" s="309" t="s">
        <v>275</v>
      </c>
      <c r="G2" s="309" t="s">
        <v>276</v>
      </c>
      <c r="H2" s="309" t="s">
        <v>277</v>
      </c>
      <c r="I2" s="310" t="s">
        <v>278</v>
      </c>
    </row>
    <row r="3" spans="1:9" x14ac:dyDescent="0.2">
      <c r="A3" s="311" t="s">
        <v>279</v>
      </c>
      <c r="B3" s="312"/>
      <c r="C3" s="313" t="s">
        <v>280</v>
      </c>
      <c r="D3" s="312" t="s">
        <v>281</v>
      </c>
      <c r="E3" s="314">
        <v>115000</v>
      </c>
      <c r="F3" s="314">
        <v>8050</v>
      </c>
      <c r="G3" s="315">
        <v>167.73</v>
      </c>
      <c r="H3" s="315">
        <f>+G3*12</f>
        <v>2012.7599999999998</v>
      </c>
      <c r="I3" s="316">
        <f>+H3*79%</f>
        <v>1590.0803999999998</v>
      </c>
    </row>
    <row r="4" spans="1:9" ht="9" customHeight="1" x14ac:dyDescent="0.2">
      <c r="A4" s="317"/>
      <c r="B4" s="318"/>
      <c r="C4" s="319"/>
      <c r="D4" s="318"/>
      <c r="E4" s="320"/>
      <c r="F4" s="320"/>
      <c r="G4" s="321"/>
      <c r="H4" s="321"/>
      <c r="I4" s="322"/>
    </row>
    <row r="5" spans="1:9" x14ac:dyDescent="0.2">
      <c r="A5" s="323" t="s">
        <v>279</v>
      </c>
      <c r="B5" s="324"/>
      <c r="C5" s="325" t="s">
        <v>280</v>
      </c>
      <c r="D5" s="324" t="s">
        <v>281</v>
      </c>
      <c r="E5" s="326">
        <v>115000</v>
      </c>
      <c r="F5" s="326">
        <v>8050</v>
      </c>
      <c r="G5" s="327">
        <v>239.09</v>
      </c>
      <c r="H5" s="327">
        <f>+G5*12</f>
        <v>2869.08</v>
      </c>
      <c r="I5" s="328">
        <f>+H5*79%</f>
        <v>2266.5732000000003</v>
      </c>
    </row>
    <row r="6" spans="1:9" ht="9" customHeight="1" x14ac:dyDescent="0.2">
      <c r="A6" s="317"/>
      <c r="B6" s="318"/>
      <c r="C6" s="319"/>
      <c r="D6" s="318"/>
      <c r="E6" s="320"/>
      <c r="F6" s="320"/>
      <c r="G6" s="321"/>
      <c r="H6" s="321"/>
      <c r="I6" s="322"/>
    </row>
    <row r="7" spans="1:9" x14ac:dyDescent="0.2">
      <c r="A7" s="323" t="s">
        <v>279</v>
      </c>
      <c r="B7" s="324"/>
      <c r="C7" s="325" t="s">
        <v>280</v>
      </c>
      <c r="D7" s="324" t="s">
        <v>282</v>
      </c>
      <c r="E7" s="326">
        <v>37500</v>
      </c>
      <c r="F7" s="326">
        <v>2775</v>
      </c>
      <c r="G7" s="327">
        <v>114.83</v>
      </c>
      <c r="H7" s="327">
        <f>+G7*12</f>
        <v>1377.96</v>
      </c>
      <c r="I7" s="328">
        <f>+H7*79%</f>
        <v>1088.5884000000001</v>
      </c>
    </row>
    <row r="8" spans="1:9" ht="9" customHeight="1" x14ac:dyDescent="0.2">
      <c r="A8" s="317"/>
      <c r="B8" s="318"/>
      <c r="C8" s="319"/>
      <c r="D8" s="318"/>
      <c r="E8" s="320"/>
      <c r="F8" s="320"/>
      <c r="G8" s="321"/>
      <c r="H8" s="321"/>
      <c r="I8" s="322"/>
    </row>
    <row r="9" spans="1:9" x14ac:dyDescent="0.2">
      <c r="A9" s="323" t="s">
        <v>279</v>
      </c>
      <c r="B9" s="324"/>
      <c r="C9" s="325" t="s">
        <v>280</v>
      </c>
      <c r="D9" s="324" t="s">
        <v>282</v>
      </c>
      <c r="E9" s="326">
        <v>46000</v>
      </c>
      <c r="F9" s="326">
        <v>3400</v>
      </c>
      <c r="G9" s="327">
        <v>141.72999999999999</v>
      </c>
      <c r="H9" s="327">
        <f t="shared" ref="H9" si="0">+G9*12</f>
        <v>1700.7599999999998</v>
      </c>
      <c r="I9" s="328">
        <f>+H9*79%</f>
        <v>1343.6003999999998</v>
      </c>
    </row>
    <row r="10" spans="1:9" ht="9" customHeight="1" x14ac:dyDescent="0.2">
      <c r="A10" s="317"/>
      <c r="B10" s="318"/>
      <c r="C10" s="319"/>
      <c r="D10" s="318"/>
      <c r="E10" s="320"/>
      <c r="F10" s="320"/>
      <c r="G10" s="321"/>
      <c r="H10" s="321"/>
      <c r="I10" s="322"/>
    </row>
    <row r="11" spans="1:9" x14ac:dyDescent="0.2">
      <c r="A11" s="323" t="s">
        <v>279</v>
      </c>
      <c r="B11" s="324"/>
      <c r="C11" s="325" t="s">
        <v>280</v>
      </c>
      <c r="D11" s="324" t="s">
        <v>281</v>
      </c>
      <c r="E11" s="326">
        <v>46000</v>
      </c>
      <c r="F11" s="326">
        <v>3400</v>
      </c>
      <c r="G11" s="327">
        <v>116.28</v>
      </c>
      <c r="H11" s="327">
        <f t="shared" ref="H11" si="1">+G11*12</f>
        <v>1395.3600000000001</v>
      </c>
      <c r="I11" s="328">
        <f>+H11*79%</f>
        <v>1102.3344000000002</v>
      </c>
    </row>
    <row r="12" spans="1:9" ht="9" customHeight="1" x14ac:dyDescent="0.2">
      <c r="A12" s="317"/>
      <c r="B12" s="318"/>
      <c r="C12" s="319"/>
      <c r="D12" s="318"/>
      <c r="E12" s="320"/>
      <c r="F12" s="320"/>
      <c r="G12" s="321"/>
      <c r="H12" s="321"/>
      <c r="I12" s="322"/>
    </row>
    <row r="13" spans="1:9" x14ac:dyDescent="0.2">
      <c r="A13" s="323" t="s">
        <v>279</v>
      </c>
      <c r="B13" s="324"/>
      <c r="C13" s="325" t="s">
        <v>280</v>
      </c>
      <c r="D13" s="324" t="s">
        <v>281</v>
      </c>
      <c r="E13" s="326">
        <v>55000</v>
      </c>
      <c r="F13" s="326">
        <v>4050</v>
      </c>
      <c r="G13" s="327">
        <v>107.1</v>
      </c>
      <c r="H13" s="327">
        <f t="shared" ref="H13" si="2">+G13*12</f>
        <v>1285.1999999999998</v>
      </c>
      <c r="I13" s="328">
        <f>+H13*79%</f>
        <v>1015.3079999999999</v>
      </c>
    </row>
    <row r="14" spans="1:9" ht="9" customHeight="1" x14ac:dyDescent="0.2">
      <c r="A14" s="317"/>
      <c r="B14" s="318"/>
      <c r="C14" s="319"/>
      <c r="D14" s="318"/>
      <c r="E14" s="320"/>
      <c r="F14" s="320"/>
      <c r="G14" s="321"/>
      <c r="H14" s="321"/>
      <c r="I14" s="322"/>
    </row>
    <row r="15" spans="1:9" ht="16" thickBot="1" x14ac:dyDescent="0.25">
      <c r="A15" s="329" t="s">
        <v>279</v>
      </c>
      <c r="B15" s="330"/>
      <c r="C15" s="331" t="s">
        <v>280</v>
      </c>
      <c r="D15" s="330" t="s">
        <v>282</v>
      </c>
      <c r="E15" s="332">
        <v>45000</v>
      </c>
      <c r="F15" s="332">
        <v>3325</v>
      </c>
      <c r="G15" s="333">
        <v>90.05</v>
      </c>
      <c r="H15" s="333">
        <f t="shared" ref="H15" si="3">+G15*12</f>
        <v>1080.5999999999999</v>
      </c>
      <c r="I15" s="334">
        <f>+H15*79%</f>
        <v>853.67399999999998</v>
      </c>
    </row>
    <row r="16" spans="1:9" ht="16" thickBot="1" x14ac:dyDescent="0.25">
      <c r="A16" s="335"/>
      <c r="B16" s="336"/>
      <c r="C16" s="337"/>
      <c r="D16" s="338" t="s">
        <v>283</v>
      </c>
      <c r="E16" s="339">
        <f>SUM(E3:E15)</f>
        <v>459500</v>
      </c>
      <c r="F16" s="340">
        <f t="shared" ref="F16:I16" si="4">SUM(F3:F15)</f>
        <v>33050</v>
      </c>
      <c r="G16" s="340">
        <f t="shared" si="4"/>
        <v>976.81</v>
      </c>
      <c r="H16" s="340">
        <f t="shared" si="4"/>
        <v>11721.72</v>
      </c>
      <c r="I16" s="341">
        <f t="shared" si="4"/>
        <v>9260.1587999999974</v>
      </c>
    </row>
    <row r="17" spans="1:11" ht="16" thickBot="1" x14ac:dyDescent="0.25">
      <c r="A17" s="305"/>
      <c r="E17" s="294"/>
      <c r="F17" s="342"/>
      <c r="G17" s="343"/>
      <c r="H17" s="343"/>
      <c r="I17" s="343"/>
    </row>
    <row r="18" spans="1:11" ht="16" thickBot="1" x14ac:dyDescent="0.25">
      <c r="A18" s="889" t="s">
        <v>284</v>
      </c>
      <c r="B18" s="890"/>
      <c r="C18" s="890"/>
      <c r="D18" s="890"/>
      <c r="E18" s="890"/>
      <c r="F18" s="890"/>
      <c r="G18" s="890"/>
      <c r="H18" s="890"/>
      <c r="I18" s="891"/>
    </row>
    <row r="19" spans="1:11" ht="49" thickBot="1" x14ac:dyDescent="0.25">
      <c r="A19" s="307" t="s">
        <v>116</v>
      </c>
      <c r="B19" s="308" t="s">
        <v>12</v>
      </c>
      <c r="C19" s="308" t="s">
        <v>272</v>
      </c>
      <c r="D19" s="308" t="s">
        <v>273</v>
      </c>
      <c r="E19" s="309" t="s">
        <v>274</v>
      </c>
      <c r="F19" s="309" t="s">
        <v>275</v>
      </c>
      <c r="G19" s="309" t="s">
        <v>276</v>
      </c>
      <c r="H19" s="309" t="s">
        <v>277</v>
      </c>
      <c r="I19" s="310" t="s">
        <v>278</v>
      </c>
    </row>
    <row r="20" spans="1:11" x14ac:dyDescent="0.2">
      <c r="A20" s="323" t="str">
        <f>+A3</f>
        <v>Prénom date naissance</v>
      </c>
      <c r="B20" s="324"/>
      <c r="C20" s="325" t="s">
        <v>123</v>
      </c>
      <c r="D20" s="324" t="s">
        <v>281</v>
      </c>
      <c r="E20" s="326">
        <v>115000</v>
      </c>
      <c r="F20" s="326">
        <v>5750</v>
      </c>
      <c r="G20" s="327">
        <v>122.34</v>
      </c>
      <c r="H20" s="327">
        <f>+G20*12</f>
        <v>1468.08</v>
      </c>
      <c r="I20" s="328">
        <f>(H20*144%)-(H20*21%)</f>
        <v>1805.7383999999997</v>
      </c>
    </row>
    <row r="21" spans="1:11" ht="9" customHeight="1" x14ac:dyDescent="0.2">
      <c r="A21" s="317"/>
      <c r="B21" s="318"/>
      <c r="C21" s="319"/>
      <c r="D21" s="318"/>
      <c r="E21" s="320"/>
      <c r="F21" s="320"/>
      <c r="G21" s="321"/>
      <c r="H21" s="321"/>
      <c r="I21" s="322"/>
    </row>
    <row r="22" spans="1:11" x14ac:dyDescent="0.2">
      <c r="A22" s="323" t="str">
        <f>+A5</f>
        <v>Prénom date naissance</v>
      </c>
      <c r="B22" s="324"/>
      <c r="C22" s="325" t="s">
        <v>123</v>
      </c>
      <c r="D22" s="324" t="s">
        <v>281</v>
      </c>
      <c r="E22" s="326">
        <v>115000</v>
      </c>
      <c r="F22" s="326">
        <v>5750</v>
      </c>
      <c r="G22" s="327">
        <v>174.39</v>
      </c>
      <c r="H22" s="327">
        <f>+G22*12</f>
        <v>2092.6799999999998</v>
      </c>
      <c r="I22" s="328">
        <f>(H22*144%)-(H22*21%)</f>
        <v>2573.9964</v>
      </c>
    </row>
    <row r="23" spans="1:11" ht="9" customHeight="1" x14ac:dyDescent="0.2">
      <c r="A23" s="317"/>
      <c r="B23" s="318"/>
      <c r="C23" s="319"/>
      <c r="D23" s="318"/>
      <c r="E23" s="320"/>
      <c r="F23" s="320"/>
      <c r="G23" s="321"/>
      <c r="H23" s="321"/>
      <c r="I23" s="322"/>
    </row>
    <row r="24" spans="1:11" x14ac:dyDescent="0.2">
      <c r="A24" s="323" t="str">
        <f>+A7</f>
        <v>Prénom date naissance</v>
      </c>
      <c r="B24" s="324"/>
      <c r="C24" s="325" t="s">
        <v>123</v>
      </c>
      <c r="D24" s="324" t="s">
        <v>282</v>
      </c>
      <c r="E24" s="326">
        <v>37500</v>
      </c>
      <c r="F24" s="326">
        <v>2350</v>
      </c>
      <c r="G24" s="327">
        <v>97.25</v>
      </c>
      <c r="H24" s="327">
        <f>+G24*12</f>
        <v>1167</v>
      </c>
      <c r="I24" s="328">
        <f>(H24*144%)-(H24*21%)</f>
        <v>1435.41</v>
      </c>
      <c r="K24" s="388"/>
    </row>
    <row r="25" spans="1:11" ht="9" customHeight="1" x14ac:dyDescent="0.2">
      <c r="A25" s="317"/>
      <c r="B25" s="318"/>
      <c r="C25" s="319"/>
      <c r="D25" s="318"/>
      <c r="E25" s="320"/>
      <c r="F25" s="320"/>
      <c r="G25" s="321"/>
      <c r="H25" s="321"/>
      <c r="I25" s="322"/>
    </row>
    <row r="26" spans="1:11" x14ac:dyDescent="0.2">
      <c r="A26" s="323" t="str">
        <f>+A9</f>
        <v>Prénom date naissance</v>
      </c>
      <c r="B26" s="324"/>
      <c r="C26" s="325" t="s">
        <v>123</v>
      </c>
      <c r="D26" s="324" t="s">
        <v>282</v>
      </c>
      <c r="E26" s="326">
        <v>46000</v>
      </c>
      <c r="F26" s="326">
        <v>2800</v>
      </c>
      <c r="G26" s="327">
        <v>111.78</v>
      </c>
      <c r="H26" s="327">
        <f t="shared" ref="H26" si="5">+G26*12</f>
        <v>1341.3600000000001</v>
      </c>
      <c r="I26" s="328">
        <f>(H26*144%)-(H26*21%)</f>
        <v>1649.8728000000001</v>
      </c>
    </row>
    <row r="27" spans="1:11" ht="9" customHeight="1" x14ac:dyDescent="0.2">
      <c r="A27" s="317"/>
      <c r="B27" s="318"/>
      <c r="C27" s="319"/>
      <c r="D27" s="318"/>
      <c r="E27" s="320"/>
      <c r="F27" s="320"/>
      <c r="G27" s="321"/>
      <c r="H27" s="321"/>
      <c r="I27" s="322"/>
    </row>
    <row r="28" spans="1:11" x14ac:dyDescent="0.2">
      <c r="A28" s="323" t="str">
        <f>+A11</f>
        <v>Prénom date naissance</v>
      </c>
      <c r="B28" s="324"/>
      <c r="C28" s="325" t="s">
        <v>123</v>
      </c>
      <c r="D28" s="324" t="s">
        <v>281</v>
      </c>
      <c r="E28" s="326">
        <v>46000</v>
      </c>
      <c r="F28" s="326">
        <v>2800</v>
      </c>
      <c r="G28" s="327">
        <v>98.16</v>
      </c>
      <c r="H28" s="327">
        <f t="shared" ref="H28" si="6">+G28*12</f>
        <v>1177.92</v>
      </c>
      <c r="I28" s="328">
        <f>(H28*144%)-(H28*21%)</f>
        <v>1448.8416</v>
      </c>
    </row>
    <row r="29" spans="1:11" ht="9" customHeight="1" x14ac:dyDescent="0.2">
      <c r="A29" s="317"/>
      <c r="B29" s="318"/>
      <c r="C29" s="319"/>
      <c r="D29" s="318"/>
      <c r="E29" s="320"/>
      <c r="F29" s="320"/>
      <c r="G29" s="321"/>
      <c r="H29" s="321"/>
      <c r="I29" s="322"/>
    </row>
    <row r="30" spans="1:11" x14ac:dyDescent="0.2">
      <c r="A30" s="323" t="str">
        <f>+A13</f>
        <v>Prénom date naissance</v>
      </c>
      <c r="B30" s="324"/>
      <c r="C30" s="325" t="s">
        <v>123</v>
      </c>
      <c r="D30" s="324" t="s">
        <v>281</v>
      </c>
      <c r="E30" s="326">
        <v>55000</v>
      </c>
      <c r="F30" s="326">
        <v>3225</v>
      </c>
      <c r="G30" s="327">
        <v>87.46</v>
      </c>
      <c r="H30" s="327">
        <f t="shared" ref="H30" si="7">+G30*12</f>
        <v>1049.52</v>
      </c>
      <c r="I30" s="328">
        <f>(H30*144%)-(H30*21%)</f>
        <v>1290.9096</v>
      </c>
    </row>
    <row r="31" spans="1:11" ht="9" customHeight="1" x14ac:dyDescent="0.2">
      <c r="A31" s="317"/>
      <c r="B31" s="318"/>
      <c r="C31" s="319"/>
      <c r="D31" s="318"/>
      <c r="E31" s="320"/>
      <c r="F31" s="320"/>
      <c r="G31" s="321"/>
      <c r="H31" s="321"/>
      <c r="I31" s="322"/>
    </row>
    <row r="32" spans="1:11" ht="16" thickBot="1" x14ac:dyDescent="0.25">
      <c r="A32" s="329" t="str">
        <f>+A15</f>
        <v>Prénom date naissance</v>
      </c>
      <c r="B32" s="330"/>
      <c r="C32" s="331" t="s">
        <v>123</v>
      </c>
      <c r="D32" s="330" t="s">
        <v>282</v>
      </c>
      <c r="E32" s="326">
        <v>45000</v>
      </c>
      <c r="F32" s="326">
        <v>2750</v>
      </c>
      <c r="G32" s="327">
        <v>75.150000000000006</v>
      </c>
      <c r="H32" s="327">
        <f t="shared" ref="H32" si="8">+G32*12</f>
        <v>901.80000000000007</v>
      </c>
      <c r="I32" s="328">
        <f>(H32*144%)-(H32*21%)</f>
        <v>1109.2140000000002</v>
      </c>
    </row>
    <row r="33" spans="1:9" ht="16" thickBot="1" x14ac:dyDescent="0.25">
      <c r="A33" s="335"/>
      <c r="B33" s="336"/>
      <c r="C33" s="337"/>
      <c r="D33" s="338" t="s">
        <v>285</v>
      </c>
      <c r="E33" s="389">
        <f>SUM(E20:E32)</f>
        <v>459500</v>
      </c>
      <c r="F33" s="390">
        <f t="shared" ref="F33:I33" si="9">SUM(F20:F32)</f>
        <v>25425</v>
      </c>
      <c r="G33" s="390">
        <f t="shared" si="9"/>
        <v>766.53</v>
      </c>
      <c r="H33" s="390">
        <f t="shared" si="9"/>
        <v>9198.36</v>
      </c>
      <c r="I33" s="391">
        <f t="shared" si="9"/>
        <v>11313.982800000002</v>
      </c>
    </row>
    <row r="34" spans="1:9" x14ac:dyDescent="0.2">
      <c r="A34" s="305"/>
      <c r="E34" s="294"/>
      <c r="F34" s="294"/>
      <c r="G34" s="343"/>
      <c r="H34" s="343"/>
      <c r="I34" s="343"/>
    </row>
    <row r="35" spans="1:9" x14ac:dyDescent="0.2">
      <c r="A35" s="344" t="s">
        <v>128</v>
      </c>
      <c r="B35" s="892"/>
      <c r="C35" s="892"/>
      <c r="D35" s="892"/>
      <c r="E35" s="892"/>
      <c r="F35" s="892"/>
      <c r="G35" s="892"/>
      <c r="H35" s="892"/>
      <c r="I35" s="892"/>
    </row>
    <row r="36" spans="1:9" x14ac:dyDescent="0.2">
      <c r="A36" s="345"/>
      <c r="B36" s="892"/>
      <c r="C36" s="892"/>
      <c r="D36" s="892"/>
      <c r="E36" s="892"/>
      <c r="F36" s="892"/>
      <c r="G36" s="892"/>
      <c r="H36" s="892"/>
      <c r="I36" s="892"/>
    </row>
    <row r="37" spans="1:9" x14ac:dyDescent="0.2">
      <c r="G37" s="347"/>
      <c r="H37" s="347"/>
      <c r="I37" s="347"/>
    </row>
    <row r="38" spans="1:9" x14ac:dyDescent="0.2">
      <c r="G38" s="347"/>
      <c r="H38" s="347"/>
      <c r="I38" s="347"/>
    </row>
    <row r="39" spans="1:9" x14ac:dyDescent="0.2">
      <c r="G39" s="347"/>
      <c r="H39" s="347"/>
      <c r="I39" s="347"/>
    </row>
  </sheetData>
  <mergeCells count="3">
    <mergeCell ref="A1:I1"/>
    <mergeCell ref="A18:I18"/>
    <mergeCell ref="B35:I36"/>
  </mergeCells>
  <pageMargins left="0.7" right="0.7" top="0.75" bottom="0.75" header="0.3" footer="0.3"/>
  <pageSetup scale="8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DEE3-74C2-4ADE-B797-FE22185EFB9E}">
  <sheetPr codeName="Feuil29">
    <tabColor theme="3" tint="0.79998168889431442"/>
    <pageSetUpPr fitToPage="1"/>
  </sheetPr>
  <dimension ref="B1:I24"/>
  <sheetViews>
    <sheetView zoomScale="115" zoomScaleNormal="115" zoomScaleSheetLayoutView="70" workbookViewId="0">
      <selection activeCell="C20" sqref="C20"/>
    </sheetView>
  </sheetViews>
  <sheetFormatPr baseColWidth="10" defaultColWidth="17.19921875" defaultRowHeight="15" x14ac:dyDescent="0.2"/>
  <cols>
    <col min="1" max="1" width="2.19921875" style="335" customWidth="1"/>
    <col min="2" max="2" width="17.796875" style="335" customWidth="1"/>
    <col min="3" max="5" width="15.59765625" style="352" customWidth="1"/>
    <col min="6" max="6" width="50.59765625" style="335" customWidth="1"/>
    <col min="7" max="7" width="11" style="353" customWidth="1"/>
    <col min="8" max="8" width="22" style="354" bestFit="1" customWidth="1"/>
    <col min="9" max="9" width="48.59765625" style="335" customWidth="1"/>
    <col min="10" max="16384" width="17.19921875" style="335"/>
  </cols>
  <sheetData>
    <row r="1" spans="2:9" ht="32" thickBot="1" x14ac:dyDescent="0.4">
      <c r="B1" s="893" t="s">
        <v>286</v>
      </c>
      <c r="C1" s="894"/>
      <c r="D1" s="894"/>
      <c r="E1" s="894"/>
      <c r="F1" s="894"/>
      <c r="G1" s="894"/>
      <c r="H1" s="894"/>
      <c r="I1" s="895"/>
    </row>
    <row r="2" spans="2:9" ht="16" x14ac:dyDescent="0.2">
      <c r="B2" s="355" t="s">
        <v>116</v>
      </c>
      <c r="C2" s="356" t="s">
        <v>272</v>
      </c>
      <c r="D2" s="356" t="s">
        <v>287</v>
      </c>
      <c r="E2" s="356" t="s">
        <v>288</v>
      </c>
      <c r="F2" s="356" t="s">
        <v>289</v>
      </c>
      <c r="G2" s="357" t="s">
        <v>120</v>
      </c>
      <c r="H2" s="358" t="s">
        <v>122</v>
      </c>
      <c r="I2" s="359" t="s">
        <v>290</v>
      </c>
    </row>
    <row r="3" spans="2:9" ht="32" x14ac:dyDescent="0.2">
      <c r="B3" s="360">
        <v>1</v>
      </c>
      <c r="C3" s="361" t="s">
        <v>291</v>
      </c>
      <c r="D3" s="361"/>
      <c r="E3" s="361"/>
      <c r="F3" s="362" t="s">
        <v>292</v>
      </c>
      <c r="G3" s="363">
        <v>8000</v>
      </c>
      <c r="H3" s="364">
        <v>112.38</v>
      </c>
      <c r="I3" s="365" t="s">
        <v>293</v>
      </c>
    </row>
    <row r="4" spans="2:9" x14ac:dyDescent="0.2">
      <c r="B4" s="366"/>
      <c r="C4" s="378" t="s">
        <v>141</v>
      </c>
      <c r="D4" s="378"/>
      <c r="E4" s="378"/>
      <c r="F4" s="379" t="s">
        <v>294</v>
      </c>
      <c r="G4" s="367"/>
      <c r="H4" s="368">
        <v>30</v>
      </c>
      <c r="I4" s="365" t="s">
        <v>295</v>
      </c>
    </row>
    <row r="5" spans="2:9" ht="32" x14ac:dyDescent="0.2">
      <c r="B5" s="360">
        <v>2</v>
      </c>
      <c r="C5" s="361" t="s">
        <v>291</v>
      </c>
      <c r="D5" s="361"/>
      <c r="E5" s="361"/>
      <c r="F5" s="362" t="s">
        <v>292</v>
      </c>
      <c r="G5" s="363">
        <v>8000</v>
      </c>
      <c r="H5" s="364">
        <v>112.38</v>
      </c>
      <c r="I5" s="365" t="s">
        <v>293</v>
      </c>
    </row>
    <row r="6" spans="2:9" x14ac:dyDescent="0.2">
      <c r="B6" s="366"/>
      <c r="C6" s="378" t="s">
        <v>141</v>
      </c>
      <c r="D6" s="378"/>
      <c r="E6" s="378"/>
      <c r="F6" s="379" t="s">
        <v>294</v>
      </c>
      <c r="G6" s="367"/>
      <c r="H6" s="368">
        <v>30</v>
      </c>
      <c r="I6" s="365" t="s">
        <v>295</v>
      </c>
    </row>
    <row r="7" spans="2:9" ht="32" x14ac:dyDescent="0.2">
      <c r="B7" s="360">
        <v>3</v>
      </c>
      <c r="C7" s="361" t="s">
        <v>291</v>
      </c>
      <c r="D7" s="361"/>
      <c r="E7" s="361"/>
      <c r="F7" s="362" t="s">
        <v>292</v>
      </c>
      <c r="G7" s="363">
        <v>8000</v>
      </c>
      <c r="H7" s="364">
        <v>204.13</v>
      </c>
      <c r="I7" s="365" t="s">
        <v>293</v>
      </c>
    </row>
    <row r="8" spans="2:9" x14ac:dyDescent="0.2">
      <c r="B8" s="366"/>
      <c r="C8" s="378" t="s">
        <v>141</v>
      </c>
      <c r="D8" s="378"/>
      <c r="E8" s="378"/>
      <c r="F8" s="379" t="s">
        <v>294</v>
      </c>
      <c r="G8" s="367"/>
      <c r="H8" s="368">
        <v>30</v>
      </c>
      <c r="I8" s="365" t="s">
        <v>295</v>
      </c>
    </row>
    <row r="9" spans="2:9" ht="48" x14ac:dyDescent="0.2">
      <c r="B9" s="360">
        <v>4</v>
      </c>
      <c r="C9" s="361" t="s">
        <v>296</v>
      </c>
      <c r="D9" s="361"/>
      <c r="E9" s="361"/>
      <c r="F9" s="362" t="s">
        <v>297</v>
      </c>
      <c r="G9" s="363">
        <v>3500</v>
      </c>
      <c r="H9" s="364">
        <v>134.91</v>
      </c>
      <c r="I9" s="365" t="s">
        <v>293</v>
      </c>
    </row>
    <row r="10" spans="2:9" ht="32" x14ac:dyDescent="0.2">
      <c r="B10" s="366"/>
      <c r="C10" s="378" t="s">
        <v>298</v>
      </c>
      <c r="D10" s="378"/>
      <c r="E10" s="378"/>
      <c r="F10" s="384" t="s">
        <v>299</v>
      </c>
      <c r="G10" s="367">
        <v>4500</v>
      </c>
      <c r="H10" s="368">
        <v>172.65</v>
      </c>
      <c r="I10" s="365" t="s">
        <v>293</v>
      </c>
    </row>
    <row r="11" spans="2:9" x14ac:dyDescent="0.2">
      <c r="B11" s="366"/>
      <c r="C11" s="378" t="s">
        <v>141</v>
      </c>
      <c r="D11" s="378"/>
      <c r="E11" s="378"/>
      <c r="F11" s="379" t="s">
        <v>294</v>
      </c>
      <c r="G11" s="367"/>
      <c r="H11" s="368">
        <v>30</v>
      </c>
      <c r="I11" s="365" t="s">
        <v>295</v>
      </c>
    </row>
    <row r="12" spans="2:9" ht="48" x14ac:dyDescent="0.2">
      <c r="B12" s="360">
        <v>5</v>
      </c>
      <c r="C12" s="361" t="s">
        <v>296</v>
      </c>
      <c r="D12" s="361"/>
      <c r="E12" s="361"/>
      <c r="F12" s="362" t="s">
        <v>300</v>
      </c>
      <c r="G12" s="363">
        <v>3500</v>
      </c>
      <c r="H12" s="364">
        <v>119.94</v>
      </c>
      <c r="I12" s="365" t="s">
        <v>293</v>
      </c>
    </row>
    <row r="13" spans="2:9" x14ac:dyDescent="0.2">
      <c r="B13" s="369"/>
      <c r="C13" s="378" t="s">
        <v>298</v>
      </c>
      <c r="D13" s="378"/>
      <c r="E13" s="378"/>
      <c r="F13" s="379" t="s">
        <v>301</v>
      </c>
      <c r="G13" s="367">
        <v>4500</v>
      </c>
      <c r="H13" s="368">
        <v>172.65</v>
      </c>
      <c r="I13" s="365" t="s">
        <v>293</v>
      </c>
    </row>
    <row r="14" spans="2:9" x14ac:dyDescent="0.2">
      <c r="B14" s="385"/>
      <c r="C14" s="380" t="s">
        <v>141</v>
      </c>
      <c r="D14" s="380"/>
      <c r="E14" s="380"/>
      <c r="F14" s="381" t="s">
        <v>294</v>
      </c>
      <c r="G14" s="382"/>
      <c r="H14" s="383">
        <v>30</v>
      </c>
      <c r="I14" s="365" t="s">
        <v>295</v>
      </c>
    </row>
    <row r="15" spans="2:9" ht="16" thickBot="1" x14ac:dyDescent="0.25">
      <c r="B15" s="369"/>
      <c r="C15" s="378"/>
      <c r="D15" s="378"/>
      <c r="E15" s="378"/>
      <c r="F15" s="379"/>
      <c r="G15" s="367"/>
      <c r="H15" s="370"/>
      <c r="I15" s="371"/>
    </row>
    <row r="16" spans="2:9" x14ac:dyDescent="0.2">
      <c r="B16" s="369"/>
      <c r="C16" s="378"/>
      <c r="D16" s="378"/>
      <c r="E16" s="378"/>
      <c r="F16" s="372">
        <f>B3</f>
        <v>1</v>
      </c>
      <c r="G16" s="373">
        <f>SUM(G3:G4)</f>
        <v>8000</v>
      </c>
      <c r="H16" s="348">
        <f>SUM(H3:H4)</f>
        <v>142.38</v>
      </c>
      <c r="I16" s="371"/>
    </row>
    <row r="17" spans="2:9" x14ac:dyDescent="0.2">
      <c r="B17" s="369"/>
      <c r="C17" s="378"/>
      <c r="D17" s="378"/>
      <c r="E17" s="378"/>
      <c r="F17" s="374">
        <f>B5</f>
        <v>2</v>
      </c>
      <c r="G17" s="375">
        <f>SUM(G5:G6)</f>
        <v>8000</v>
      </c>
      <c r="H17" s="349">
        <f>SUM(H5:H6)</f>
        <v>142.38</v>
      </c>
      <c r="I17" s="371"/>
    </row>
    <row r="18" spans="2:9" x14ac:dyDescent="0.2">
      <c r="B18" s="369"/>
      <c r="C18" s="378"/>
      <c r="D18" s="378"/>
      <c r="E18" s="378"/>
      <c r="F18" s="374">
        <f>B9</f>
        <v>4</v>
      </c>
      <c r="G18" s="375">
        <f>SUM(G9:G11)</f>
        <v>8000</v>
      </c>
      <c r="H18" s="349">
        <f>SUM(H9:H11)</f>
        <v>337.56</v>
      </c>
      <c r="I18" s="371"/>
    </row>
    <row r="19" spans="2:9" ht="16" thickBot="1" x14ac:dyDescent="0.25">
      <c r="B19" s="369"/>
      <c r="C19" s="386"/>
      <c r="D19" s="386"/>
      <c r="E19" s="386"/>
      <c r="F19" s="376">
        <f>B12</f>
        <v>5</v>
      </c>
      <c r="G19" s="377">
        <f>SUM(G12:G14)</f>
        <v>8000</v>
      </c>
      <c r="H19" s="350">
        <f>SUM(H12:H14)</f>
        <v>322.59000000000003</v>
      </c>
      <c r="I19" s="371"/>
    </row>
    <row r="20" spans="2:9" ht="16" thickBot="1" x14ac:dyDescent="0.25">
      <c r="B20" s="369"/>
      <c r="C20" s="386"/>
      <c r="D20" s="386"/>
      <c r="E20" s="386"/>
      <c r="F20" s="379"/>
      <c r="G20" s="367"/>
      <c r="H20" s="351">
        <f>SUM(H16:H19)</f>
        <v>944.91</v>
      </c>
      <c r="I20" s="371"/>
    </row>
    <row r="21" spans="2:9" ht="15" customHeight="1" x14ac:dyDescent="0.2">
      <c r="B21" s="366" t="s">
        <v>128</v>
      </c>
      <c r="C21" s="896" t="s">
        <v>302</v>
      </c>
      <c r="D21" s="896"/>
      <c r="E21" s="896"/>
      <c r="F21" s="896"/>
      <c r="G21" s="896"/>
      <c r="H21" s="896"/>
      <c r="I21" s="897"/>
    </row>
    <row r="22" spans="2:9" x14ac:dyDescent="0.2">
      <c r="B22" s="369"/>
      <c r="C22" s="896"/>
      <c r="D22" s="896"/>
      <c r="E22" s="896"/>
      <c r="F22" s="896"/>
      <c r="G22" s="896"/>
      <c r="H22" s="896"/>
      <c r="I22" s="897"/>
    </row>
    <row r="23" spans="2:9" x14ac:dyDescent="0.2">
      <c r="B23" s="369"/>
      <c r="C23" s="896"/>
      <c r="D23" s="896"/>
      <c r="E23" s="896"/>
      <c r="F23" s="896"/>
      <c r="G23" s="896"/>
      <c r="H23" s="896"/>
      <c r="I23" s="897"/>
    </row>
    <row r="24" spans="2:9" ht="16" thickBot="1" x14ac:dyDescent="0.25">
      <c r="B24" s="387"/>
      <c r="C24" s="898"/>
      <c r="D24" s="898"/>
      <c r="E24" s="898"/>
      <c r="F24" s="898"/>
      <c r="G24" s="898"/>
      <c r="H24" s="898"/>
      <c r="I24" s="899"/>
    </row>
  </sheetData>
  <mergeCells count="2">
    <mergeCell ref="B1:I1"/>
    <mergeCell ref="C21:I24"/>
  </mergeCells>
  <pageMargins left="1" right="1" top="1" bottom="1" header="0.5" footer="0.5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37BD5E5-4B93-4FB1-8AA0-77F1EB6067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17</vt:i4>
      </vt:variant>
    </vt:vector>
  </HeadingPairs>
  <TitlesOfParts>
    <vt:vector size="47" baseType="lpstr">
      <vt:lpstr>Informations</vt:lpstr>
      <vt:lpstr>Objectifs-projets et rêves</vt:lpstr>
      <vt:lpstr>Status</vt:lpstr>
      <vt:lpstr>Bilan Perso</vt:lpstr>
      <vt:lpstr>Graphique de progression</vt:lpstr>
      <vt:lpstr>Bilan GESCO</vt:lpstr>
      <vt:lpstr>Bilan OPCO</vt:lpstr>
      <vt:lpstr>Graphique de progression (2)</vt:lpstr>
      <vt:lpstr>Bilan immobilier</vt:lpstr>
      <vt:lpstr>Sommaire assurance de personne</vt:lpstr>
      <vt:lpstr>Sommaire assurance dommages</vt:lpstr>
      <vt:lpstr>Budget prévisionnel</vt:lpstr>
      <vt:lpstr>Budget %</vt:lpstr>
      <vt:lpstr>Feuil1</vt:lpstr>
      <vt:lpstr>Analyse invalidité</vt:lpstr>
      <vt:lpstr>AMG propriété partagé</vt:lpstr>
      <vt:lpstr>AMG propriété partagé concept</vt:lpstr>
      <vt:lpstr>AMG propriété partagé analyse</vt:lpstr>
      <vt:lpstr>Budget previsionnel</vt:lpstr>
      <vt:lpstr>Budget previsionnel graphique</vt:lpstr>
      <vt:lpstr>Coût ass. hypotécaire CALCUL</vt:lpstr>
      <vt:lpstr>Capacité d'emprunt CALCUL</vt:lpstr>
      <vt:lpstr>Analyse achat mdf</vt:lpstr>
      <vt:lpstr>Calcul remboursement AFE</vt:lpstr>
      <vt:lpstr>Calcul remboursement MC</vt:lpstr>
      <vt:lpstr>Budget coût de vie B</vt:lpstr>
      <vt:lpstr>Budget coût de vie cjt</vt:lpstr>
      <vt:lpstr>RIPS - Sommaire</vt:lpstr>
      <vt:lpstr>RIPS - Analyse</vt:lpstr>
      <vt:lpstr>RIPS - données pour comptable</vt:lpstr>
      <vt:lpstr>'Bilan GESCO'!Zone_d_impression</vt:lpstr>
      <vt:lpstr>'Bilan immobilier'!Zone_d_impression</vt:lpstr>
      <vt:lpstr>'Bilan OPCO'!Zone_d_impression</vt:lpstr>
      <vt:lpstr>'Bilan Perso'!Zone_d_impression</vt:lpstr>
      <vt:lpstr>'Budget %'!Zone_d_impression</vt:lpstr>
      <vt:lpstr>'Budget coût de vie B'!Zone_d_impression</vt:lpstr>
      <vt:lpstr>'Budget coût de vie cjt'!Zone_d_impression</vt:lpstr>
      <vt:lpstr>'Calcul remboursement AFE'!Zone_d_impression</vt:lpstr>
      <vt:lpstr>'Calcul remboursement MC'!Zone_d_impression</vt:lpstr>
      <vt:lpstr>'Coût ass. hypotécaire CALCUL'!Zone_d_impression</vt:lpstr>
      <vt:lpstr>'Objectifs-projets et rêves'!Zone_d_impression</vt:lpstr>
      <vt:lpstr>'RIPS - Analyse'!Zone_d_impression</vt:lpstr>
      <vt:lpstr>'RIPS - données pour comptable'!Zone_d_impression</vt:lpstr>
      <vt:lpstr>'RIPS - Sommaire'!Zone_d_impression</vt:lpstr>
      <vt:lpstr>'Sommaire assurance de personne'!Zone_d_impression</vt:lpstr>
      <vt:lpstr>'Sommaire assurance dommages'!Zone_d_impression</vt:lpstr>
      <vt:lpstr>Status!Zone_d_impression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</dc:title>
  <dc:subject/>
  <dc:creator>Anthony Forcier</dc:creator>
  <cp:keywords/>
  <dc:description/>
  <cp:lastModifiedBy>Scio-Taco-K2</cp:lastModifiedBy>
  <cp:revision/>
  <dcterms:created xsi:type="dcterms:W3CDTF">2014-08-01T20:28:12Z</dcterms:created>
  <dcterms:modified xsi:type="dcterms:W3CDTF">2023-03-15T14:57:24Z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TC100738769990</vt:lpwstr>
  </property>
</Properties>
</file>